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FF1F2A10-5065-4CDB-860D-CCB790608817}" xr6:coauthVersionLast="47" xr6:coauthVersionMax="47" xr10:uidLastSave="{00000000-0000-0000-0000-000000000000}"/>
  <bookViews>
    <workbookView xWindow="-120" yWindow="-120" windowWidth="29040" windowHeight="15840" tabRatio="680" firstSheet="4" activeTab="11" xr2:uid="{00000000-000D-0000-FFFF-FFFF00000000}"/>
  </bookViews>
  <sheets>
    <sheet name="Kangatang" sheetId="88" state="veryHidden" r:id="rId1"/>
    <sheet name="Bieu so 46" sheetId="59" r:id="rId2"/>
    <sheet name="Bieu so 47" sheetId="17" r:id="rId3"/>
    <sheet name="Bieu so 48" sheetId="1" r:id="rId4"/>
    <sheet name="Bieu so 49" sheetId="6" r:id="rId5"/>
    <sheet name="Bieu so 50" sheetId="80" r:id="rId6"/>
    <sheet name="Bieu so 51" sheetId="81" r:id="rId7"/>
    <sheet name="Bieu so 521" sheetId="82" state="hidden" r:id="rId8"/>
    <sheet name="Bieu so 52" sheetId="89" r:id="rId9"/>
    <sheet name="Bieu so 53" sheetId="27" r:id="rId10"/>
    <sheet name="Bieu so 54" sheetId="83" r:id="rId11"/>
    <sheet name="Bieu so 55" sheetId="84" r:id="rId12"/>
    <sheet name="Bieu so 56" sheetId="30" r:id="rId13"/>
    <sheet name="Bieu so 57" sheetId="49" r:id="rId14"/>
    <sheet name="Bieu so 581" sheetId="85" state="hidden" r:id="rId15"/>
    <sheet name="Bieu so 58" sheetId="90" r:id="rId16"/>
    <sheet name="52" sheetId="86" state="hidden" r:id="rId17"/>
    <sheet name="58" sheetId="87"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name="_xlnm.Print_Titles" localSheetId="1">'Bieu so 46'!$7:$8</definedName>
    <definedName name="_xlnm.Print_Titles" localSheetId="3">'Bieu so 48'!$7:$9</definedName>
    <definedName name="_xlnm.Print_Titles" localSheetId="4">'Bieu so 49'!$7:$10</definedName>
    <definedName name="_xlnm.Print_Titles" localSheetId="5">'Bieu so 50'!$7:$7</definedName>
    <definedName name="_xlnm.Print_Titles" localSheetId="6">'Bieu so 51'!$7:$9</definedName>
    <definedName name="_xlnm.Print_Titles" localSheetId="8">'Bieu so 52'!$6:$7</definedName>
    <definedName name="_xlnm.Print_Titles" localSheetId="7">'Bieu so 521'!$7:$10</definedName>
    <definedName name="_xlnm.Print_Titles" localSheetId="9">'Bieu so 53'!$8:$13</definedName>
    <definedName name="_xlnm.Print_Titles" localSheetId="10">'Bieu so 54'!$8:$9</definedName>
    <definedName name="_xlnm.Print_Titles" localSheetId="11">'Bieu so 55'!$7:$9</definedName>
    <definedName name="_xlnm.Print_Titles" localSheetId="12">'Bieu so 56'!$8:$9</definedName>
    <definedName name="_xlnm.Print_Titles" localSheetId="13">'Bieu so 57'!$10:$10</definedName>
    <definedName name="_xlnm.Print_Titles" localSheetId="15">'Bieu so 58'!$5:$9</definedName>
    <definedName name="_xlnm.Print_Titles" localSheetId="14">'Bieu so 581'!$6:$11</definedName>
  </definedNames>
  <calcPr calcId="191029"/>
</workbook>
</file>

<file path=xl/calcChain.xml><?xml version="1.0" encoding="utf-8"?>
<calcChain xmlns="http://schemas.openxmlformats.org/spreadsheetml/2006/main">
  <c r="Q405" i="90" l="1"/>
  <c r="Q404" i="90"/>
  <c r="Q403" i="90"/>
  <c r="W401" i="90"/>
  <c r="S401" i="90"/>
  <c r="Q401" i="90"/>
  <c r="Q400" i="90"/>
  <c r="R399" i="90"/>
  <c r="Q399" i="90" s="1"/>
  <c r="Q398" i="90"/>
  <c r="Q397" i="90"/>
  <c r="Q396" i="90" s="1"/>
  <c r="L397" i="90"/>
  <c r="L396" i="90" s="1"/>
  <c r="G397" i="90"/>
  <c r="W396" i="90"/>
  <c r="V396" i="90"/>
  <c r="U396" i="90"/>
  <c r="T396" i="90"/>
  <c r="S396" i="90"/>
  <c r="R396" i="90"/>
  <c r="P396" i="90"/>
  <c r="O396" i="90"/>
  <c r="N396" i="90"/>
  <c r="N341" i="90" s="1"/>
  <c r="M396" i="90"/>
  <c r="K396" i="90"/>
  <c r="J396" i="90"/>
  <c r="I396" i="90"/>
  <c r="H396" i="90"/>
  <c r="G396" i="90"/>
  <c r="Q395" i="90"/>
  <c r="L395" i="90"/>
  <c r="G395" i="90"/>
  <c r="G394" i="90" s="1"/>
  <c r="V394" i="90"/>
  <c r="U394" i="90"/>
  <c r="T394" i="90"/>
  <c r="S394" i="90"/>
  <c r="R394" i="90"/>
  <c r="Q394" i="90"/>
  <c r="P394" i="90"/>
  <c r="O394" i="90"/>
  <c r="N394" i="90"/>
  <c r="M394" i="90"/>
  <c r="L394" i="90"/>
  <c r="K394" i="90"/>
  <c r="J394" i="90"/>
  <c r="I394" i="90"/>
  <c r="H394" i="90"/>
  <c r="Q390" i="90"/>
  <c r="L390" i="90"/>
  <c r="G390" i="90"/>
  <c r="Q389" i="90"/>
  <c r="L389" i="90"/>
  <c r="G389" i="90"/>
  <c r="V388" i="90"/>
  <c r="U388" i="90"/>
  <c r="T388" i="90"/>
  <c r="S388" i="90"/>
  <c r="R388" i="90"/>
  <c r="Q388" i="90"/>
  <c r="P388" i="90"/>
  <c r="O388" i="90"/>
  <c r="N388" i="90"/>
  <c r="M388" i="90"/>
  <c r="L388" i="90"/>
  <c r="K388" i="90"/>
  <c r="J388" i="90"/>
  <c r="I388" i="90"/>
  <c r="H388" i="90"/>
  <c r="G388" i="90"/>
  <c r="Q387" i="90"/>
  <c r="L387" i="90"/>
  <c r="G387" i="90"/>
  <c r="Q386" i="90"/>
  <c r="L386" i="90"/>
  <c r="L385" i="90" s="1"/>
  <c r="G386" i="90"/>
  <c r="W385" i="90"/>
  <c r="V385" i="90"/>
  <c r="U385" i="90"/>
  <c r="T385" i="90"/>
  <c r="S385" i="90"/>
  <c r="R385" i="90"/>
  <c r="Q385" i="90"/>
  <c r="P385" i="90"/>
  <c r="O385" i="90"/>
  <c r="N385" i="90"/>
  <c r="M385" i="90"/>
  <c r="K385" i="90"/>
  <c r="J385" i="90"/>
  <c r="I385" i="90"/>
  <c r="H385" i="90"/>
  <c r="G385" i="90"/>
  <c r="Q384" i="90"/>
  <c r="L384" i="90"/>
  <c r="L381" i="90" s="1"/>
  <c r="G384" i="90"/>
  <c r="Q383" i="90"/>
  <c r="L383" i="90"/>
  <c r="G383" i="90"/>
  <c r="Q382" i="90"/>
  <c r="Q381" i="90" s="1"/>
  <c r="L382" i="90"/>
  <c r="G382" i="90"/>
  <c r="W381" i="90"/>
  <c r="V381" i="90"/>
  <c r="U381" i="90"/>
  <c r="T381" i="90"/>
  <c r="S381" i="90"/>
  <c r="R381" i="90"/>
  <c r="P381" i="90"/>
  <c r="O381" i="90"/>
  <c r="N381" i="90"/>
  <c r="M381" i="90"/>
  <c r="K381" i="90"/>
  <c r="J381" i="90"/>
  <c r="I381" i="90"/>
  <c r="H381" i="90"/>
  <c r="G381" i="90"/>
  <c r="Q380" i="90"/>
  <c r="L380" i="90"/>
  <c r="G380" i="90"/>
  <c r="W379" i="90"/>
  <c r="V379" i="90"/>
  <c r="U379" i="90"/>
  <c r="T379" i="90"/>
  <c r="S379" i="90"/>
  <c r="R379" i="90"/>
  <c r="Q379" i="90"/>
  <c r="P379" i="90"/>
  <c r="O379" i="90"/>
  <c r="N379" i="90"/>
  <c r="M379" i="90"/>
  <c r="L379" i="90"/>
  <c r="K379" i="90"/>
  <c r="J379" i="90"/>
  <c r="I379" i="90"/>
  <c r="H379" i="90"/>
  <c r="G379" i="90"/>
  <c r="Q378" i="90"/>
  <c r="Q377" i="90" s="1"/>
  <c r="L378" i="90"/>
  <c r="G378" i="90"/>
  <c r="G377" i="90" s="1"/>
  <c r="W377" i="90"/>
  <c r="V377" i="90"/>
  <c r="U377" i="90"/>
  <c r="T377" i="90"/>
  <c r="S377" i="90"/>
  <c r="R377" i="90"/>
  <c r="P377" i="90"/>
  <c r="O377" i="90"/>
  <c r="N377" i="90"/>
  <c r="M377" i="90"/>
  <c r="L377" i="90"/>
  <c r="K377" i="90"/>
  <c r="J377" i="90"/>
  <c r="I377" i="90"/>
  <c r="H377" i="90"/>
  <c r="Q376" i="90"/>
  <c r="L376" i="90"/>
  <c r="G376" i="90"/>
  <c r="W374" i="90"/>
  <c r="V374" i="90"/>
  <c r="U374" i="90"/>
  <c r="T374" i="90"/>
  <c r="S374" i="90"/>
  <c r="R374" i="90"/>
  <c r="Q374" i="90"/>
  <c r="P374" i="90"/>
  <c r="O374" i="90"/>
  <c r="N374" i="90"/>
  <c r="M374" i="90"/>
  <c r="L374" i="90"/>
  <c r="K374" i="90"/>
  <c r="J374" i="90"/>
  <c r="I374" i="90"/>
  <c r="H374" i="90"/>
  <c r="G374" i="90"/>
  <c r="Q373" i="90"/>
  <c r="L373" i="90"/>
  <c r="G373" i="90"/>
  <c r="W372" i="90"/>
  <c r="V372" i="90"/>
  <c r="U372" i="90"/>
  <c r="T372" i="90"/>
  <c r="S372" i="90"/>
  <c r="R372" i="90"/>
  <c r="Q372" i="90"/>
  <c r="P372" i="90"/>
  <c r="P341" i="90" s="1"/>
  <c r="O372" i="90"/>
  <c r="N372" i="90"/>
  <c r="M372" i="90"/>
  <c r="L372" i="90"/>
  <c r="K372" i="90"/>
  <c r="J372" i="90"/>
  <c r="I372" i="90"/>
  <c r="H372" i="90"/>
  <c r="G372" i="90"/>
  <c r="Q371" i="90"/>
  <c r="Q370" i="90" s="1"/>
  <c r="L371" i="90"/>
  <c r="G371" i="90"/>
  <c r="G370" i="90" s="1"/>
  <c r="W370" i="90"/>
  <c r="V370" i="90"/>
  <c r="U370" i="90"/>
  <c r="T370" i="90"/>
  <c r="S370" i="90"/>
  <c r="R370" i="90"/>
  <c r="P370" i="90"/>
  <c r="O370" i="90"/>
  <c r="N370" i="90"/>
  <c r="M370" i="90"/>
  <c r="L370" i="90"/>
  <c r="K370" i="90"/>
  <c r="J370" i="90"/>
  <c r="I370" i="90"/>
  <c r="H370" i="90"/>
  <c r="Q369" i="90"/>
  <c r="L369" i="90"/>
  <c r="G369" i="90"/>
  <c r="Q368" i="90"/>
  <c r="L368" i="90"/>
  <c r="G368" i="90"/>
  <c r="Q367" i="90"/>
  <c r="L367" i="90"/>
  <c r="G367" i="90"/>
  <c r="Q366" i="90"/>
  <c r="L366" i="90"/>
  <c r="G366" i="90"/>
  <c r="Q365" i="90"/>
  <c r="L365" i="90"/>
  <c r="G365" i="90"/>
  <c r="Q364" i="90"/>
  <c r="L364" i="90"/>
  <c r="G364" i="90"/>
  <c r="Q363" i="90"/>
  <c r="Q360" i="90" s="1"/>
  <c r="L363" i="90"/>
  <c r="L360" i="90" s="1"/>
  <c r="G363" i="90"/>
  <c r="Q362" i="90"/>
  <c r="L362" i="90"/>
  <c r="G362" i="90"/>
  <c r="Q361" i="90"/>
  <c r="L361" i="90"/>
  <c r="G361" i="90"/>
  <c r="W360" i="90"/>
  <c r="V360" i="90"/>
  <c r="U360" i="90"/>
  <c r="T360" i="90"/>
  <c r="S360" i="90"/>
  <c r="R360" i="90"/>
  <c r="P360" i="90"/>
  <c r="O360" i="90"/>
  <c r="N360" i="90"/>
  <c r="M360" i="90"/>
  <c r="K360" i="90"/>
  <c r="J360" i="90"/>
  <c r="I360" i="90"/>
  <c r="H360" i="90"/>
  <c r="G360" i="90"/>
  <c r="Q358" i="90"/>
  <c r="Q357" i="90" s="1"/>
  <c r="L358" i="90"/>
  <c r="G358" i="90"/>
  <c r="V357" i="90"/>
  <c r="U357" i="90"/>
  <c r="T357" i="90"/>
  <c r="S357" i="90"/>
  <c r="R357" i="90"/>
  <c r="P357" i="90"/>
  <c r="O357" i="90"/>
  <c r="N357" i="90"/>
  <c r="M357" i="90"/>
  <c r="L357" i="90"/>
  <c r="K357" i="90"/>
  <c r="J357" i="90"/>
  <c r="I357" i="90"/>
  <c r="H357" i="90"/>
  <c r="G357" i="90"/>
  <c r="Q356" i="90"/>
  <c r="L356" i="90"/>
  <c r="G356" i="90"/>
  <c r="G355" i="90" s="1"/>
  <c r="W355" i="90"/>
  <c r="W341" i="90" s="1"/>
  <c r="V355" i="90"/>
  <c r="U355" i="90"/>
  <c r="T355" i="90"/>
  <c r="S355" i="90"/>
  <c r="R355" i="90"/>
  <c r="Q355" i="90"/>
  <c r="P355" i="90"/>
  <c r="O355" i="90"/>
  <c r="N355" i="90"/>
  <c r="M355" i="90"/>
  <c r="L355" i="90"/>
  <c r="K355" i="90"/>
  <c r="K341" i="90" s="1"/>
  <c r="J355" i="90"/>
  <c r="I355" i="90"/>
  <c r="H355" i="90"/>
  <c r="Q354" i="90"/>
  <c r="L354" i="90"/>
  <c r="G354" i="90"/>
  <c r="W353" i="90"/>
  <c r="V353" i="90"/>
  <c r="U353" i="90"/>
  <c r="T353" i="90"/>
  <c r="S353" i="90"/>
  <c r="S341" i="90" s="1"/>
  <c r="R353" i="90"/>
  <c r="Q353" i="90"/>
  <c r="P353" i="90"/>
  <c r="O353" i="90"/>
  <c r="N353" i="90"/>
  <c r="M353" i="90"/>
  <c r="L353" i="90"/>
  <c r="K353" i="90"/>
  <c r="J353" i="90"/>
  <c r="I353" i="90"/>
  <c r="H353" i="90"/>
  <c r="G353" i="90"/>
  <c r="G341" i="90" s="1"/>
  <c r="Q352" i="90"/>
  <c r="Q351" i="90" s="1"/>
  <c r="L352" i="90"/>
  <c r="G352" i="90"/>
  <c r="W351" i="90"/>
  <c r="V351" i="90"/>
  <c r="U351" i="90"/>
  <c r="T351" i="90"/>
  <c r="S351" i="90"/>
  <c r="R351" i="90"/>
  <c r="P351" i="90"/>
  <c r="O351" i="90"/>
  <c r="O341" i="90" s="1"/>
  <c r="N351" i="90"/>
  <c r="M351" i="90"/>
  <c r="L351" i="90"/>
  <c r="K351" i="90"/>
  <c r="J351" i="90"/>
  <c r="I351" i="90"/>
  <c r="H351" i="90"/>
  <c r="G351" i="90"/>
  <c r="Q350" i="90"/>
  <c r="L350" i="90"/>
  <c r="G350" i="90"/>
  <c r="U349" i="90"/>
  <c r="U341" i="90" s="1"/>
  <c r="T349" i="90"/>
  <c r="S349" i="90"/>
  <c r="R349" i="90"/>
  <c r="Q349" i="90"/>
  <c r="P349" i="90"/>
  <c r="O349" i="90"/>
  <c r="N349" i="90"/>
  <c r="M349" i="90"/>
  <c r="L349" i="90"/>
  <c r="K349" i="90"/>
  <c r="J349" i="90"/>
  <c r="I349" i="90"/>
  <c r="I341" i="90" s="1"/>
  <c r="H349" i="90"/>
  <c r="G349" i="90"/>
  <c r="Q348" i="90"/>
  <c r="L348" i="90"/>
  <c r="G348" i="90"/>
  <c r="Q347" i="90"/>
  <c r="L347" i="90"/>
  <c r="G347" i="90"/>
  <c r="W346" i="90"/>
  <c r="V346" i="90"/>
  <c r="U346" i="90"/>
  <c r="T346" i="90"/>
  <c r="S346" i="90"/>
  <c r="R346" i="90"/>
  <c r="Q346" i="90"/>
  <c r="P346" i="90"/>
  <c r="O346" i="90"/>
  <c r="N346" i="90"/>
  <c r="M346" i="90"/>
  <c r="L346" i="90"/>
  <c r="K346" i="90"/>
  <c r="J346" i="90"/>
  <c r="I346" i="90"/>
  <c r="H346" i="90"/>
  <c r="G346" i="90"/>
  <c r="Q345" i="90"/>
  <c r="L345" i="90"/>
  <c r="G345" i="90"/>
  <c r="X344" i="90"/>
  <c r="W344" i="90"/>
  <c r="V344" i="90"/>
  <c r="U344" i="90"/>
  <c r="T344" i="90"/>
  <c r="S344" i="90"/>
  <c r="R344" i="90"/>
  <c r="Q344" i="90"/>
  <c r="Q341" i="90" s="1"/>
  <c r="P344" i="90"/>
  <c r="O344" i="90"/>
  <c r="N344" i="90"/>
  <c r="M344" i="90"/>
  <c r="L344" i="90"/>
  <c r="K344" i="90"/>
  <c r="J344" i="90"/>
  <c r="I344" i="90"/>
  <c r="H344" i="90"/>
  <c r="G344" i="90"/>
  <c r="Q343" i="90"/>
  <c r="L343" i="90"/>
  <c r="L342" i="90" s="1"/>
  <c r="G343" i="90"/>
  <c r="W342" i="90"/>
  <c r="V342" i="90"/>
  <c r="V341" i="90" s="1"/>
  <c r="U342" i="90"/>
  <c r="T342" i="90"/>
  <c r="T341" i="90" s="1"/>
  <c r="S342" i="90"/>
  <c r="R342" i="90"/>
  <c r="Q342" i="90"/>
  <c r="P342" i="90"/>
  <c r="O342" i="90"/>
  <c r="N342" i="90"/>
  <c r="M342" i="90"/>
  <c r="M341" i="90" s="1"/>
  <c r="K342" i="90"/>
  <c r="J342" i="90"/>
  <c r="J341" i="90" s="1"/>
  <c r="I342" i="90"/>
  <c r="H342" i="90"/>
  <c r="H341" i="90" s="1"/>
  <c r="G342" i="90"/>
  <c r="R341" i="90"/>
  <c r="Q340" i="90"/>
  <c r="Q339" i="90" s="1"/>
  <c r="L340" i="90"/>
  <c r="G340" i="90"/>
  <c r="G339" i="90" s="1"/>
  <c r="V339" i="90"/>
  <c r="U339" i="90"/>
  <c r="T339" i="90"/>
  <c r="S339" i="90"/>
  <c r="R339" i="90"/>
  <c r="P339" i="90"/>
  <c r="O339" i="90"/>
  <c r="N339" i="90"/>
  <c r="M339" i="90"/>
  <c r="L339" i="90"/>
  <c r="K339" i="90"/>
  <c r="J339" i="90"/>
  <c r="I339" i="90"/>
  <c r="H339" i="90"/>
  <c r="Q338" i="90"/>
  <c r="Q337" i="90" s="1"/>
  <c r="L338" i="90"/>
  <c r="G338" i="90"/>
  <c r="W337" i="90"/>
  <c r="V337" i="90"/>
  <c r="U337" i="90"/>
  <c r="T337" i="90"/>
  <c r="S337" i="90"/>
  <c r="R337" i="90"/>
  <c r="P337" i="90"/>
  <c r="O337" i="90"/>
  <c r="N337" i="90"/>
  <c r="M337" i="90"/>
  <c r="L337" i="90"/>
  <c r="K337" i="90"/>
  <c r="J337" i="90"/>
  <c r="I337" i="90"/>
  <c r="H337" i="90"/>
  <c r="G337" i="90"/>
  <c r="Q336" i="90"/>
  <c r="L336" i="90"/>
  <c r="Q335" i="90"/>
  <c r="L335" i="90"/>
  <c r="G335" i="90"/>
  <c r="V334" i="90"/>
  <c r="U334" i="90"/>
  <c r="T334" i="90"/>
  <c r="S334" i="90"/>
  <c r="R334" i="90"/>
  <c r="Q334" i="90"/>
  <c r="P334" i="90"/>
  <c r="O334" i="90"/>
  <c r="N334" i="90"/>
  <c r="M334" i="90"/>
  <c r="L334" i="90"/>
  <c r="K334" i="90"/>
  <c r="I334" i="90"/>
  <c r="H334" i="90"/>
  <c r="Q333" i="90"/>
  <c r="L333" i="90"/>
  <c r="G333" i="90"/>
  <c r="Q332" i="90"/>
  <c r="L332" i="90"/>
  <c r="G332" i="90"/>
  <c r="Q331" i="90"/>
  <c r="L331" i="90"/>
  <c r="G331" i="90"/>
  <c r="Q330" i="90"/>
  <c r="L330" i="90"/>
  <c r="L328" i="90" s="1"/>
  <c r="G330" i="90"/>
  <c r="Q329" i="90"/>
  <c r="Q328" i="90" s="1"/>
  <c r="L329" i="90"/>
  <c r="G329" i="90"/>
  <c r="W328" i="90"/>
  <c r="V328" i="90"/>
  <c r="U328" i="90"/>
  <c r="T328" i="90"/>
  <c r="S328" i="90"/>
  <c r="R328" i="90"/>
  <c r="P328" i="90"/>
  <c r="O328" i="90"/>
  <c r="N328" i="90"/>
  <c r="M328" i="90"/>
  <c r="K328" i="90"/>
  <c r="J328" i="90"/>
  <c r="I328" i="90"/>
  <c r="H328" i="90"/>
  <c r="G328" i="90"/>
  <c r="Q327" i="90"/>
  <c r="L327" i="90"/>
  <c r="G327" i="90"/>
  <c r="G325" i="90" s="1"/>
  <c r="Q326" i="90"/>
  <c r="L326" i="90"/>
  <c r="G326" i="90"/>
  <c r="V325" i="90"/>
  <c r="U325" i="90"/>
  <c r="T325" i="90"/>
  <c r="S325" i="90"/>
  <c r="R325" i="90"/>
  <c r="Q325" i="90"/>
  <c r="P325" i="90"/>
  <c r="O325" i="90"/>
  <c r="N325" i="90"/>
  <c r="M325" i="90"/>
  <c r="L325" i="90"/>
  <c r="K325" i="90"/>
  <c r="J325" i="90"/>
  <c r="J336" i="90" s="1"/>
  <c r="I325" i="90"/>
  <c r="H325" i="90"/>
  <c r="Q324" i="90"/>
  <c r="L324" i="90"/>
  <c r="G324" i="90"/>
  <c r="Q323" i="90"/>
  <c r="L323" i="90"/>
  <c r="G323" i="90"/>
  <c r="Q322" i="90"/>
  <c r="L322" i="90"/>
  <c r="G322" i="90"/>
  <c r="Q321" i="90"/>
  <c r="L321" i="90"/>
  <c r="G321" i="90"/>
  <c r="Q320" i="90"/>
  <c r="L320" i="90"/>
  <c r="G320" i="90"/>
  <c r="Q319" i="90"/>
  <c r="L319" i="90"/>
  <c r="L315" i="90" s="1"/>
  <c r="G319" i="90"/>
  <c r="Q318" i="90"/>
  <c r="L318" i="90"/>
  <c r="G318" i="90"/>
  <c r="Q317" i="90"/>
  <c r="L317" i="90"/>
  <c r="G317" i="90"/>
  <c r="Q316" i="90"/>
  <c r="L316" i="90"/>
  <c r="G316" i="90"/>
  <c r="G315" i="90" s="1"/>
  <c r="W315" i="90"/>
  <c r="V315" i="90"/>
  <c r="U315" i="90"/>
  <c r="T315" i="90"/>
  <c r="S315" i="90"/>
  <c r="R315" i="90"/>
  <c r="Q315" i="90"/>
  <c r="P315" i="90"/>
  <c r="O315" i="90"/>
  <c r="N315" i="90"/>
  <c r="M315" i="90"/>
  <c r="K315" i="90"/>
  <c r="J315" i="90"/>
  <c r="I315" i="90"/>
  <c r="H315" i="90"/>
  <c r="Q314" i="90"/>
  <c r="N314" i="90"/>
  <c r="L314" i="90" s="1"/>
  <c r="I314" i="90"/>
  <c r="G314" i="90" s="1"/>
  <c r="Q313" i="90"/>
  <c r="L313" i="90"/>
  <c r="G313" i="90"/>
  <c r="R312" i="90"/>
  <c r="Q312" i="90" s="1"/>
  <c r="L312" i="90"/>
  <c r="G312" i="90"/>
  <c r="Q311" i="90"/>
  <c r="O311" i="90"/>
  <c r="O310" i="90" s="1"/>
  <c r="G311" i="90"/>
  <c r="V310" i="90"/>
  <c r="U310" i="90"/>
  <c r="T310" i="90"/>
  <c r="S310" i="90"/>
  <c r="R310" i="90"/>
  <c r="R97" i="90" s="1"/>
  <c r="P310" i="90"/>
  <c r="N310" i="90"/>
  <c r="M310" i="90"/>
  <c r="K310" i="90"/>
  <c r="J310" i="90"/>
  <c r="I310" i="90"/>
  <c r="H310" i="90"/>
  <c r="Q309" i="90"/>
  <c r="L309" i="90"/>
  <c r="G309" i="90"/>
  <c r="Q308" i="90"/>
  <c r="L308" i="90"/>
  <c r="G308" i="90"/>
  <c r="Q307" i="90"/>
  <c r="L307" i="90"/>
  <c r="G307" i="90"/>
  <c r="T306" i="90"/>
  <c r="Q306" i="90" s="1"/>
  <c r="L306" i="90"/>
  <c r="G306" i="90"/>
  <c r="Q305" i="90"/>
  <c r="L305" i="90"/>
  <c r="G305" i="90"/>
  <c r="Q304" i="90"/>
  <c r="L304" i="90"/>
  <c r="G304" i="90"/>
  <c r="Q303" i="90"/>
  <c r="L303" i="90"/>
  <c r="G303" i="90"/>
  <c r="Q302" i="90"/>
  <c r="L302" i="90"/>
  <c r="G302" i="90"/>
  <c r="Q301" i="90"/>
  <c r="L301" i="90"/>
  <c r="G301" i="90"/>
  <c r="Q300" i="90"/>
  <c r="L300" i="90"/>
  <c r="G300" i="90"/>
  <c r="Q299" i="90"/>
  <c r="L299" i="90"/>
  <c r="G299" i="90"/>
  <c r="Q298" i="90"/>
  <c r="L298" i="90"/>
  <c r="G298" i="90"/>
  <c r="Q297" i="90"/>
  <c r="L297" i="90"/>
  <c r="G297" i="90"/>
  <c r="Q296" i="90"/>
  <c r="L296" i="90"/>
  <c r="G296" i="90"/>
  <c r="Q295" i="90"/>
  <c r="L295" i="90"/>
  <c r="G295" i="90"/>
  <c r="Q294" i="90"/>
  <c r="L294" i="90"/>
  <c r="G294" i="90"/>
  <c r="Q293" i="90"/>
  <c r="L293" i="90"/>
  <c r="G293" i="90"/>
  <c r="Q292" i="90"/>
  <c r="L292" i="90"/>
  <c r="G292" i="90"/>
  <c r="Q291" i="90"/>
  <c r="L291" i="90"/>
  <c r="G291" i="90"/>
  <c r="Q290" i="90"/>
  <c r="L290" i="90"/>
  <c r="G290" i="90"/>
  <c r="Q289" i="90"/>
  <c r="L289" i="90"/>
  <c r="G289" i="90"/>
  <c r="Q288" i="90"/>
  <c r="L288" i="90"/>
  <c r="G288" i="90"/>
  <c r="Q287" i="90"/>
  <c r="L287" i="90"/>
  <c r="G287" i="90"/>
  <c r="Q286" i="90"/>
  <c r="L286" i="90"/>
  <c r="G286" i="90"/>
  <c r="Q285" i="90"/>
  <c r="L285" i="90"/>
  <c r="G285" i="90"/>
  <c r="Q284" i="90"/>
  <c r="L284" i="90"/>
  <c r="G284" i="90"/>
  <c r="Q283" i="90"/>
  <c r="L283" i="90"/>
  <c r="G283" i="90"/>
  <c r="Q282" i="90"/>
  <c r="L282" i="90"/>
  <c r="G282" i="90"/>
  <c r="G274" i="90" s="1"/>
  <c r="Q281" i="90"/>
  <c r="G281" i="90"/>
  <c r="Q280" i="90"/>
  <c r="G280" i="90"/>
  <c r="Q279" i="90"/>
  <c r="G279" i="90"/>
  <c r="Q278" i="90"/>
  <c r="G278" i="90"/>
  <c r="R277" i="90"/>
  <c r="Q277" i="90" s="1"/>
  <c r="G277" i="90"/>
  <c r="Q276" i="90"/>
  <c r="G276" i="90"/>
  <c r="R275" i="90"/>
  <c r="Q275" i="90" s="1"/>
  <c r="G275" i="90"/>
  <c r="W274" i="90"/>
  <c r="V274" i="90"/>
  <c r="U274" i="90"/>
  <c r="T274" i="90"/>
  <c r="S274" i="90"/>
  <c r="R274" i="90"/>
  <c r="P274" i="90"/>
  <c r="O274" i="90"/>
  <c r="N274" i="90"/>
  <c r="M274" i="90"/>
  <c r="L274" i="90"/>
  <c r="K274" i="90"/>
  <c r="J274" i="90"/>
  <c r="I274" i="90"/>
  <c r="H274" i="90"/>
  <c r="Q273" i="90"/>
  <c r="L273" i="90"/>
  <c r="G273" i="90"/>
  <c r="Q272" i="90"/>
  <c r="L272" i="90"/>
  <c r="G272" i="90"/>
  <c r="Q271" i="90"/>
  <c r="L271" i="90"/>
  <c r="G271" i="90"/>
  <c r="Q270" i="90"/>
  <c r="L270" i="90"/>
  <c r="L264" i="90" s="1"/>
  <c r="Q269" i="90"/>
  <c r="L269" i="90"/>
  <c r="G269" i="90"/>
  <c r="Q268" i="90"/>
  <c r="Q264" i="90" s="1"/>
  <c r="L268" i="90"/>
  <c r="G268" i="90"/>
  <c r="Q267" i="90"/>
  <c r="L267" i="90"/>
  <c r="G267" i="90"/>
  <c r="Q266" i="90"/>
  <c r="L266" i="90"/>
  <c r="G266" i="90"/>
  <c r="G264" i="90" s="1"/>
  <c r="Q265" i="90"/>
  <c r="L265" i="90"/>
  <c r="G265" i="90"/>
  <c r="W264" i="90"/>
  <c r="V264" i="90"/>
  <c r="U264" i="90"/>
  <c r="T264" i="90"/>
  <c r="S264" i="90"/>
  <c r="R264" i="90"/>
  <c r="P264" i="90"/>
  <c r="O264" i="90"/>
  <c r="N264" i="90"/>
  <c r="M264" i="90"/>
  <c r="K264" i="90"/>
  <c r="K97" i="90" s="1"/>
  <c r="J264" i="90"/>
  <c r="I264" i="90"/>
  <c r="H264" i="90"/>
  <c r="Q263" i="90"/>
  <c r="L263" i="90"/>
  <c r="G263" i="90"/>
  <c r="Q262" i="90"/>
  <c r="Q261" i="90" s="1"/>
  <c r="L262" i="90"/>
  <c r="L261" i="90" s="1"/>
  <c r="G262" i="90"/>
  <c r="W261" i="90"/>
  <c r="V261" i="90"/>
  <c r="U261" i="90"/>
  <c r="T261" i="90"/>
  <c r="S261" i="90"/>
  <c r="R261" i="90"/>
  <c r="P261" i="90"/>
  <c r="O261" i="90"/>
  <c r="N261" i="90"/>
  <c r="M261" i="90"/>
  <c r="K261" i="90"/>
  <c r="J261" i="90"/>
  <c r="I261" i="90"/>
  <c r="H261" i="90"/>
  <c r="G261" i="90"/>
  <c r="Q260" i="90"/>
  <c r="L260" i="90"/>
  <c r="G260" i="90"/>
  <c r="Q259" i="90"/>
  <c r="L259" i="90"/>
  <c r="G259" i="90"/>
  <c r="Q258" i="90"/>
  <c r="L258" i="90"/>
  <c r="G258" i="90"/>
  <c r="Q257" i="90"/>
  <c r="L257" i="90"/>
  <c r="G257" i="90"/>
  <c r="Q256" i="90"/>
  <c r="Q253" i="90" s="1"/>
  <c r="L256" i="90"/>
  <c r="G256" i="90"/>
  <c r="Q255" i="90"/>
  <c r="L255" i="90"/>
  <c r="G255" i="90"/>
  <c r="Q254" i="90"/>
  <c r="L254" i="90"/>
  <c r="G254" i="90"/>
  <c r="G253" i="90" s="1"/>
  <c r="W253" i="90"/>
  <c r="V253" i="90"/>
  <c r="U253" i="90"/>
  <c r="T253" i="90"/>
  <c r="S253" i="90"/>
  <c r="R253" i="90"/>
  <c r="P253" i="90"/>
  <c r="O253" i="90"/>
  <c r="N253" i="90"/>
  <c r="M253" i="90"/>
  <c r="L253" i="90"/>
  <c r="K253" i="90"/>
  <c r="J253" i="90"/>
  <c r="I253" i="90"/>
  <c r="H253" i="90"/>
  <c r="Q252" i="90"/>
  <c r="L252" i="90"/>
  <c r="G252" i="90"/>
  <c r="Q251" i="90"/>
  <c r="L251" i="90"/>
  <c r="G251" i="90"/>
  <c r="Q250" i="90"/>
  <c r="L250" i="90"/>
  <c r="G250" i="90"/>
  <c r="Q249" i="90"/>
  <c r="L249" i="90"/>
  <c r="G249" i="90"/>
  <c r="Q248" i="90"/>
  <c r="L248" i="90"/>
  <c r="G248" i="90"/>
  <c r="Q247" i="90"/>
  <c r="L247" i="90"/>
  <c r="G247" i="90"/>
  <c r="Q246" i="90"/>
  <c r="L246" i="90"/>
  <c r="G246" i="90"/>
  <c r="Q245" i="90"/>
  <c r="G245" i="90"/>
  <c r="W244" i="90"/>
  <c r="U244" i="90"/>
  <c r="S244" i="90"/>
  <c r="Q244" i="90"/>
  <c r="P244" i="90"/>
  <c r="N244" i="90"/>
  <c r="K244" i="90"/>
  <c r="I244" i="90"/>
  <c r="I240" i="90" s="1"/>
  <c r="Q243" i="90"/>
  <c r="L243" i="90"/>
  <c r="G243" i="90"/>
  <c r="W242" i="90"/>
  <c r="V242" i="90"/>
  <c r="U242" i="90"/>
  <c r="S242" i="90"/>
  <c r="Q242" i="90" s="1"/>
  <c r="P242" i="90"/>
  <c r="N242" i="90"/>
  <c r="M242" i="90"/>
  <c r="M240" i="90" s="1"/>
  <c r="K242" i="90"/>
  <c r="H242" i="90"/>
  <c r="G242" i="90"/>
  <c r="Q241" i="90"/>
  <c r="Q240" i="90" s="1"/>
  <c r="L241" i="90"/>
  <c r="G241" i="90"/>
  <c r="W240" i="90"/>
  <c r="V240" i="90"/>
  <c r="U240" i="90"/>
  <c r="T240" i="90"/>
  <c r="S240" i="90"/>
  <c r="S97" i="90" s="1"/>
  <c r="R240" i="90"/>
  <c r="P240" i="90"/>
  <c r="O240" i="90"/>
  <c r="N240" i="90"/>
  <c r="K240" i="90"/>
  <c r="J240" i="90"/>
  <c r="H240" i="90"/>
  <c r="Q239" i="90"/>
  <c r="L239" i="90"/>
  <c r="G239" i="90"/>
  <c r="Q238" i="90"/>
  <c r="L238" i="90"/>
  <c r="G238" i="90"/>
  <c r="Q237" i="90"/>
  <c r="L237" i="90"/>
  <c r="G237" i="90"/>
  <c r="Q236" i="90"/>
  <c r="L236" i="90"/>
  <c r="G236" i="90"/>
  <c r="Q235" i="90"/>
  <c r="L235" i="90"/>
  <c r="G235" i="90"/>
  <c r="Q234" i="90"/>
  <c r="L234" i="90"/>
  <c r="G234" i="90"/>
  <c r="Q233" i="90"/>
  <c r="L233" i="90"/>
  <c r="G233" i="90"/>
  <c r="Q232" i="90"/>
  <c r="L232" i="90"/>
  <c r="G232" i="90"/>
  <c r="Q231" i="90"/>
  <c r="L231" i="90"/>
  <c r="G231" i="90"/>
  <c r="Q230" i="90"/>
  <c r="L230" i="90"/>
  <c r="G230" i="90"/>
  <c r="Q229" i="90"/>
  <c r="L229" i="90"/>
  <c r="G229" i="90"/>
  <c r="Q228" i="90"/>
  <c r="L228" i="90"/>
  <c r="G228" i="90"/>
  <c r="G227" i="90" s="1"/>
  <c r="W227" i="90"/>
  <c r="V227" i="90"/>
  <c r="U227" i="90"/>
  <c r="T227" i="90"/>
  <c r="S227" i="90"/>
  <c r="R227" i="90"/>
  <c r="Q227" i="90"/>
  <c r="P227" i="90"/>
  <c r="O227" i="90"/>
  <c r="N227" i="90"/>
  <c r="Y227" i="90" s="1"/>
  <c r="M227" i="90"/>
  <c r="L227" i="90"/>
  <c r="K227" i="90"/>
  <c r="J227" i="90"/>
  <c r="I227" i="90"/>
  <c r="H227" i="90"/>
  <c r="Q226" i="90"/>
  <c r="L226" i="90"/>
  <c r="G226" i="90"/>
  <c r="Q225" i="90"/>
  <c r="L225" i="90"/>
  <c r="G225" i="90"/>
  <c r="Q224" i="90"/>
  <c r="L224" i="90"/>
  <c r="G224" i="90"/>
  <c r="Q223" i="90"/>
  <c r="L223" i="90"/>
  <c r="G223" i="90"/>
  <c r="Q222" i="90"/>
  <c r="L222" i="90"/>
  <c r="G222" i="90"/>
  <c r="Q221" i="90"/>
  <c r="L221" i="90"/>
  <c r="G221" i="90"/>
  <c r="Q220" i="90"/>
  <c r="L220" i="90"/>
  <c r="G220" i="90"/>
  <c r="Q219" i="90"/>
  <c r="L219" i="90"/>
  <c r="G219" i="90"/>
  <c r="Q218" i="90"/>
  <c r="L218" i="90"/>
  <c r="G218" i="90"/>
  <c r="Q217" i="90"/>
  <c r="L217" i="90"/>
  <c r="G217" i="90"/>
  <c r="Q216" i="90"/>
  <c r="L216" i="90"/>
  <c r="G216" i="90"/>
  <c r="Q215" i="90"/>
  <c r="L215" i="90"/>
  <c r="G215" i="90"/>
  <c r="Q214" i="90"/>
  <c r="L214" i="90"/>
  <c r="G214" i="90"/>
  <c r="Q213" i="90"/>
  <c r="L213" i="90"/>
  <c r="G213" i="90"/>
  <c r="Q212" i="90"/>
  <c r="L212" i="90"/>
  <c r="G212" i="90"/>
  <c r="Q211" i="90"/>
  <c r="L211" i="90"/>
  <c r="G211" i="90"/>
  <c r="Q210" i="90"/>
  <c r="L210" i="90"/>
  <c r="G210" i="90"/>
  <c r="Q209" i="90"/>
  <c r="L209" i="90"/>
  <c r="L202" i="90" s="1"/>
  <c r="J209" i="90"/>
  <c r="G209" i="90"/>
  <c r="Q208" i="90"/>
  <c r="L208" i="90"/>
  <c r="G208" i="90"/>
  <c r="Q207" i="90"/>
  <c r="L207" i="90"/>
  <c r="G207" i="90"/>
  <c r="Q206" i="90"/>
  <c r="L206" i="90"/>
  <c r="G206" i="90"/>
  <c r="Q205" i="90"/>
  <c r="Q202" i="90" s="1"/>
  <c r="L205" i="90"/>
  <c r="G205" i="90"/>
  <c r="Q204" i="90"/>
  <c r="L204" i="90"/>
  <c r="G204" i="90"/>
  <c r="Q203" i="90"/>
  <c r="L203" i="90"/>
  <c r="G203" i="90"/>
  <c r="G202" i="90" s="1"/>
  <c r="W202" i="90"/>
  <c r="V202" i="90"/>
  <c r="U202" i="90"/>
  <c r="T202" i="90"/>
  <c r="S202" i="90"/>
  <c r="R202" i="90"/>
  <c r="P202" i="90"/>
  <c r="O202" i="90"/>
  <c r="N202" i="90"/>
  <c r="M202" i="90"/>
  <c r="K202" i="90"/>
  <c r="J202" i="90"/>
  <c r="I202" i="90"/>
  <c r="H202" i="90"/>
  <c r="Q201" i="90"/>
  <c r="L201" i="90"/>
  <c r="G201" i="90"/>
  <c r="Q200" i="90"/>
  <c r="L200" i="90"/>
  <c r="G200" i="90"/>
  <c r="Q199" i="90"/>
  <c r="L199" i="90"/>
  <c r="G199" i="90"/>
  <c r="Q198" i="90"/>
  <c r="L198" i="90"/>
  <c r="G198" i="90"/>
  <c r="Q197" i="90"/>
  <c r="O197" i="90"/>
  <c r="L197" i="90" s="1"/>
  <c r="L193" i="90" s="1"/>
  <c r="G197" i="90"/>
  <c r="Q196" i="90"/>
  <c r="L196" i="90"/>
  <c r="G196" i="90"/>
  <c r="Q195" i="90"/>
  <c r="L195" i="90"/>
  <c r="G195" i="90"/>
  <c r="Q194" i="90"/>
  <c r="Q193" i="90" s="1"/>
  <c r="L194" i="90"/>
  <c r="G194" i="90"/>
  <c r="G193" i="90" s="1"/>
  <c r="W193" i="90"/>
  <c r="V193" i="90"/>
  <c r="U193" i="90"/>
  <c r="T193" i="90"/>
  <c r="S193" i="90"/>
  <c r="R193" i="90"/>
  <c r="P193" i="90"/>
  <c r="N193" i="90"/>
  <c r="M193" i="90"/>
  <c r="K193" i="90"/>
  <c r="J193" i="90"/>
  <c r="I193" i="90"/>
  <c r="H193" i="90"/>
  <c r="Q192" i="90"/>
  <c r="L192" i="90"/>
  <c r="G192" i="90"/>
  <c r="Q191" i="90"/>
  <c r="L191" i="90"/>
  <c r="G191" i="90"/>
  <c r="Q190" i="90"/>
  <c r="L190" i="90"/>
  <c r="G190" i="90"/>
  <c r="Q189" i="90"/>
  <c r="L189" i="90"/>
  <c r="G189" i="90"/>
  <c r="Q188" i="90"/>
  <c r="L188" i="90"/>
  <c r="G188" i="90"/>
  <c r="Q187" i="90"/>
  <c r="Q186" i="90" s="1"/>
  <c r="L187" i="90"/>
  <c r="L186" i="90" s="1"/>
  <c r="G187" i="90"/>
  <c r="V186" i="90"/>
  <c r="U186" i="90"/>
  <c r="T186" i="90"/>
  <c r="S186" i="90"/>
  <c r="R186" i="90"/>
  <c r="P186" i="90"/>
  <c r="O186" i="90"/>
  <c r="N186" i="90"/>
  <c r="M186" i="90"/>
  <c r="K186" i="90"/>
  <c r="J186" i="90"/>
  <c r="I186" i="90"/>
  <c r="H186" i="90"/>
  <c r="G186" i="90"/>
  <c r="Q185" i="90"/>
  <c r="L185" i="90"/>
  <c r="G185" i="90"/>
  <c r="Q184" i="90"/>
  <c r="L184" i="90"/>
  <c r="G184" i="90"/>
  <c r="T183" i="90"/>
  <c r="T161" i="90" s="1"/>
  <c r="L183" i="90"/>
  <c r="G183" i="90"/>
  <c r="Q182" i="90"/>
  <c r="L182" i="90"/>
  <c r="G182" i="90"/>
  <c r="Q181" i="90"/>
  <c r="L181" i="90"/>
  <c r="G181" i="90"/>
  <c r="Q180" i="90"/>
  <c r="L180" i="90"/>
  <c r="G180" i="90"/>
  <c r="Q179" i="90"/>
  <c r="L179" i="90"/>
  <c r="G179" i="90"/>
  <c r="Q178" i="90"/>
  <c r="L178" i="90"/>
  <c r="G178" i="90"/>
  <c r="Q177" i="90"/>
  <c r="L177" i="90"/>
  <c r="G177" i="90"/>
  <c r="Q176" i="90"/>
  <c r="L176" i="90"/>
  <c r="G176" i="90"/>
  <c r="Q175" i="90"/>
  <c r="L175" i="90"/>
  <c r="G175" i="90"/>
  <c r="Q174" i="90"/>
  <c r="L174" i="90"/>
  <c r="I174" i="90"/>
  <c r="G174" i="90" s="1"/>
  <c r="Q173" i="90"/>
  <c r="N173" i="90"/>
  <c r="L173" i="90" s="1"/>
  <c r="I173" i="90"/>
  <c r="G173" i="90"/>
  <c r="Q172" i="90"/>
  <c r="N172" i="90"/>
  <c r="L172" i="90" s="1"/>
  <c r="I172" i="90"/>
  <c r="G172" i="90"/>
  <c r="Q171" i="90"/>
  <c r="L171" i="90"/>
  <c r="G171" i="90"/>
  <c r="Q170" i="90"/>
  <c r="L170" i="90"/>
  <c r="G170" i="90"/>
  <c r="Q169" i="90"/>
  <c r="L169" i="90"/>
  <c r="G169" i="90"/>
  <c r="Q168" i="90"/>
  <c r="L168" i="90"/>
  <c r="G168" i="90"/>
  <c r="Q167" i="90"/>
  <c r="L167" i="90"/>
  <c r="G167" i="90"/>
  <c r="Q166" i="90"/>
  <c r="L166" i="90"/>
  <c r="G166" i="90"/>
  <c r="Q165" i="90"/>
  <c r="N165" i="90"/>
  <c r="L165" i="90"/>
  <c r="I165" i="90"/>
  <c r="G165" i="90" s="1"/>
  <c r="Q164" i="90"/>
  <c r="N164" i="90"/>
  <c r="L164" i="90" s="1"/>
  <c r="I164" i="90"/>
  <c r="G164" i="90" s="1"/>
  <c r="G161" i="90" s="1"/>
  <c r="Q163" i="90"/>
  <c r="G163" i="90"/>
  <c r="W162" i="90"/>
  <c r="W161" i="90" s="1"/>
  <c r="W97" i="90" s="1"/>
  <c r="G162" i="90"/>
  <c r="V161" i="90"/>
  <c r="U161" i="90"/>
  <c r="S161" i="90"/>
  <c r="R161" i="90"/>
  <c r="P161" i="90"/>
  <c r="O161" i="90"/>
  <c r="N161" i="90"/>
  <c r="N97" i="90" s="1"/>
  <c r="M161" i="90"/>
  <c r="K161" i="90"/>
  <c r="J161" i="90"/>
  <c r="I161" i="90"/>
  <c r="H161" i="90"/>
  <c r="Q160" i="90"/>
  <c r="L160" i="90"/>
  <c r="G160" i="90"/>
  <c r="Q159" i="90"/>
  <c r="L159" i="90"/>
  <c r="G159" i="90"/>
  <c r="Q158" i="90"/>
  <c r="L158" i="90"/>
  <c r="G158" i="90"/>
  <c r="Q157" i="90"/>
  <c r="L157" i="90"/>
  <c r="G157" i="90"/>
  <c r="Q156" i="90"/>
  <c r="L156" i="90"/>
  <c r="G156" i="90"/>
  <c r="Q155" i="90"/>
  <c r="L155" i="90"/>
  <c r="G155" i="90"/>
  <c r="Q154" i="90"/>
  <c r="L154" i="90"/>
  <c r="G154" i="90"/>
  <c r="Q153" i="90"/>
  <c r="L153" i="90"/>
  <c r="G153" i="90"/>
  <c r="Q152" i="90"/>
  <c r="L152" i="90"/>
  <c r="G152" i="90"/>
  <c r="Q151" i="90"/>
  <c r="L151" i="90"/>
  <c r="G151" i="90"/>
  <c r="Q150" i="90"/>
  <c r="L150" i="90"/>
  <c r="G150" i="90"/>
  <c r="Q149" i="90"/>
  <c r="L149" i="90"/>
  <c r="G149" i="90"/>
  <c r="Q148" i="90"/>
  <c r="L148" i="90"/>
  <c r="G148" i="90"/>
  <c r="Q147" i="90"/>
  <c r="L147" i="90"/>
  <c r="G147" i="90"/>
  <c r="Q146" i="90"/>
  <c r="L146" i="90"/>
  <c r="G146" i="90"/>
  <c r="Q145" i="90"/>
  <c r="L145" i="90"/>
  <c r="G145" i="90"/>
  <c r="Q144" i="90"/>
  <c r="L144" i="90"/>
  <c r="G144" i="90"/>
  <c r="Q143" i="90"/>
  <c r="L143" i="90"/>
  <c r="G143" i="90"/>
  <c r="Q142" i="90"/>
  <c r="L142" i="90"/>
  <c r="G142" i="90"/>
  <c r="Q141" i="90"/>
  <c r="L141" i="90"/>
  <c r="G141" i="90"/>
  <c r="Q140" i="90"/>
  <c r="L140" i="90"/>
  <c r="G140" i="90"/>
  <c r="Q139" i="90"/>
  <c r="L139" i="90"/>
  <c r="G139" i="90"/>
  <c r="Q138" i="90"/>
  <c r="L138" i="90"/>
  <c r="G138" i="90"/>
  <c r="Q137" i="90"/>
  <c r="L137" i="90"/>
  <c r="G137" i="90"/>
  <c r="Q136" i="90"/>
  <c r="N136" i="90"/>
  <c r="L136" i="90" s="1"/>
  <c r="I136" i="90"/>
  <c r="G136" i="90"/>
  <c r="G125" i="90" s="1"/>
  <c r="Q135" i="90"/>
  <c r="N135" i="90"/>
  <c r="L135" i="90" s="1"/>
  <c r="L125" i="90" s="1"/>
  <c r="I135" i="90"/>
  <c r="G135" i="90"/>
  <c r="Q134" i="90"/>
  <c r="L134" i="90"/>
  <c r="G134" i="90"/>
  <c r="Q133" i="90"/>
  <c r="L133" i="90"/>
  <c r="G133" i="90"/>
  <c r="Q132" i="90"/>
  <c r="Q125" i="90" s="1"/>
  <c r="L132" i="90"/>
  <c r="G132" i="90"/>
  <c r="Q131" i="90"/>
  <c r="L131" i="90"/>
  <c r="G131" i="90"/>
  <c r="Q130" i="90"/>
  <c r="L130" i="90"/>
  <c r="G130" i="90"/>
  <c r="Q129" i="90"/>
  <c r="L129" i="90"/>
  <c r="G129" i="90"/>
  <c r="Q128" i="90"/>
  <c r="L128" i="90"/>
  <c r="G128" i="90"/>
  <c r="Q127" i="90"/>
  <c r="L127" i="90"/>
  <c r="G127" i="90"/>
  <c r="Q126" i="90"/>
  <c r="L126" i="90"/>
  <c r="G126" i="90"/>
  <c r="W125" i="90"/>
  <c r="V125" i="90"/>
  <c r="U125" i="90"/>
  <c r="T125" i="90"/>
  <c r="S125" i="90"/>
  <c r="R125" i="90"/>
  <c r="P125" i="90"/>
  <c r="O125" i="90"/>
  <c r="N125" i="90"/>
  <c r="Y125" i="90" s="1"/>
  <c r="M125" i="90"/>
  <c r="K125" i="90"/>
  <c r="J125" i="90"/>
  <c r="I125" i="90"/>
  <c r="H125" i="90"/>
  <c r="Q124" i="90"/>
  <c r="L124" i="90"/>
  <c r="I124" i="90"/>
  <c r="G124" i="90"/>
  <c r="Q123" i="90"/>
  <c r="L123" i="90"/>
  <c r="G123" i="90"/>
  <c r="Q122" i="90"/>
  <c r="L122" i="90"/>
  <c r="G122" i="90"/>
  <c r="Q121" i="90"/>
  <c r="L121" i="90"/>
  <c r="G121" i="90"/>
  <c r="Q120" i="90"/>
  <c r="G120" i="90"/>
  <c r="Q119" i="90"/>
  <c r="G119" i="90"/>
  <c r="Q118" i="90"/>
  <c r="G118" i="90"/>
  <c r="G115" i="90" s="1"/>
  <c r="Q117" i="90"/>
  <c r="L117" i="90"/>
  <c r="L115" i="90" s="1"/>
  <c r="Z115" i="90" s="1"/>
  <c r="G117" i="90"/>
  <c r="Y116" i="90"/>
  <c r="Q116" i="90"/>
  <c r="L116" i="90"/>
  <c r="Z116" i="90" s="1"/>
  <c r="G116" i="90"/>
  <c r="W115" i="90"/>
  <c r="V115" i="90"/>
  <c r="U115" i="90"/>
  <c r="T115" i="90"/>
  <c r="T97" i="90" s="1"/>
  <c r="S115" i="90"/>
  <c r="R115" i="90"/>
  <c r="Q115" i="90"/>
  <c r="P115" i="90"/>
  <c r="O115" i="90"/>
  <c r="Y115" i="90" s="1"/>
  <c r="N115" i="90"/>
  <c r="M115" i="90"/>
  <c r="K115" i="90"/>
  <c r="J115" i="90"/>
  <c r="I115" i="90"/>
  <c r="H115" i="90"/>
  <c r="H97" i="90" s="1"/>
  <c r="Q114" i="90"/>
  <c r="L114" i="90"/>
  <c r="L113" i="90" s="1"/>
  <c r="G114" i="90"/>
  <c r="W113" i="90"/>
  <c r="V113" i="90"/>
  <c r="U113" i="90"/>
  <c r="T113" i="90"/>
  <c r="S113" i="90"/>
  <c r="R113" i="90"/>
  <c r="Q113" i="90"/>
  <c r="P113" i="90"/>
  <c r="O113" i="90"/>
  <c r="N113" i="90"/>
  <c r="M113" i="90"/>
  <c r="K113" i="90"/>
  <c r="J113" i="90"/>
  <c r="I113" i="90"/>
  <c r="H113" i="90"/>
  <c r="G113" i="90"/>
  <c r="Q112" i="90"/>
  <c r="L112" i="90"/>
  <c r="G112" i="90"/>
  <c r="G110" i="90" s="1"/>
  <c r="Q111" i="90"/>
  <c r="W110" i="90"/>
  <c r="V110" i="90"/>
  <c r="U110" i="90"/>
  <c r="T110" i="90"/>
  <c r="S110" i="90"/>
  <c r="R110" i="90"/>
  <c r="Q110" i="90"/>
  <c r="P110" i="90"/>
  <c r="O110" i="90"/>
  <c r="N110" i="90"/>
  <c r="M110" i="90"/>
  <c r="L110" i="90"/>
  <c r="K110" i="90"/>
  <c r="J110" i="90"/>
  <c r="I110" i="90"/>
  <c r="H110" i="90"/>
  <c r="Q109" i="90"/>
  <c r="L109" i="90"/>
  <c r="G109" i="90"/>
  <c r="Q108" i="90"/>
  <c r="Q107" i="90" s="1"/>
  <c r="L108" i="90"/>
  <c r="G108" i="90"/>
  <c r="G107" i="90" s="1"/>
  <c r="W107" i="90"/>
  <c r="V107" i="90"/>
  <c r="U107" i="90"/>
  <c r="T107" i="90"/>
  <c r="S107" i="90"/>
  <c r="R107" i="90"/>
  <c r="P107" i="90"/>
  <c r="O107" i="90"/>
  <c r="N107" i="90"/>
  <c r="M107" i="90"/>
  <c r="L107" i="90"/>
  <c r="K107" i="90"/>
  <c r="J107" i="90"/>
  <c r="I107" i="90"/>
  <c r="H107" i="90"/>
  <c r="Q106" i="90"/>
  <c r="L106" i="90"/>
  <c r="G106" i="90"/>
  <c r="Q105" i="90"/>
  <c r="L105" i="90"/>
  <c r="G105" i="90"/>
  <c r="Q104" i="90"/>
  <c r="L104" i="90"/>
  <c r="G104" i="90"/>
  <c r="Q103" i="90"/>
  <c r="L103" i="90"/>
  <c r="G103" i="90"/>
  <c r="G101" i="90" s="1"/>
  <c r="R102" i="90"/>
  <c r="Q102" i="90" s="1"/>
  <c r="Q101" i="90" s="1"/>
  <c r="L102" i="90"/>
  <c r="L101" i="90" s="1"/>
  <c r="G102" i="90"/>
  <c r="W101" i="90"/>
  <c r="V101" i="90"/>
  <c r="U101" i="90"/>
  <c r="U97" i="90" s="1"/>
  <c r="T101" i="90"/>
  <c r="S101" i="90"/>
  <c r="R101" i="90"/>
  <c r="P101" i="90"/>
  <c r="P97" i="90" s="1"/>
  <c r="O101" i="90"/>
  <c r="N101" i="90"/>
  <c r="M101" i="90"/>
  <c r="K101" i="90"/>
  <c r="J101" i="90"/>
  <c r="I101" i="90"/>
  <c r="I97" i="90" s="1"/>
  <c r="H101" i="90"/>
  <c r="Q100" i="90"/>
  <c r="L100" i="90"/>
  <c r="G100" i="90"/>
  <c r="Q99" i="90"/>
  <c r="L99" i="90"/>
  <c r="G99" i="90"/>
  <c r="W98" i="90"/>
  <c r="V98" i="90"/>
  <c r="V97" i="90" s="1"/>
  <c r="U98" i="90"/>
  <c r="T98" i="90"/>
  <c r="S98" i="90"/>
  <c r="R98" i="90"/>
  <c r="Q98" i="90"/>
  <c r="P98" i="90"/>
  <c r="O98" i="90"/>
  <c r="N98" i="90"/>
  <c r="Y98" i="90" s="1"/>
  <c r="M98" i="90"/>
  <c r="M97" i="90" s="1"/>
  <c r="L98" i="90"/>
  <c r="Z98" i="90" s="1"/>
  <c r="K98" i="90"/>
  <c r="J98" i="90"/>
  <c r="I98" i="90"/>
  <c r="H98" i="90"/>
  <c r="G98" i="90"/>
  <c r="Q96" i="90"/>
  <c r="L96" i="90"/>
  <c r="G96" i="90"/>
  <c r="Q95" i="90"/>
  <c r="L95" i="90"/>
  <c r="G95" i="90"/>
  <c r="Q94" i="90"/>
  <c r="Q93" i="90" s="1"/>
  <c r="Q92" i="90" s="1"/>
  <c r="L94" i="90"/>
  <c r="L93" i="90" s="1"/>
  <c r="L92" i="90" s="1"/>
  <c r="G94" i="90"/>
  <c r="W93" i="90"/>
  <c r="W92" i="90" s="1"/>
  <c r="V93" i="90"/>
  <c r="U93" i="90"/>
  <c r="T93" i="90"/>
  <c r="T92" i="90" s="1"/>
  <c r="S93" i="90"/>
  <c r="S92" i="90" s="1"/>
  <c r="R93" i="90"/>
  <c r="P93" i="90"/>
  <c r="O93" i="90"/>
  <c r="N93" i="90"/>
  <c r="M93" i="90"/>
  <c r="K93" i="90"/>
  <c r="K92" i="90" s="1"/>
  <c r="J93" i="90"/>
  <c r="I93" i="90"/>
  <c r="H93" i="90"/>
  <c r="H92" i="90" s="1"/>
  <c r="G93" i="90"/>
  <c r="G92" i="90" s="1"/>
  <c r="V92" i="90"/>
  <c r="U92" i="90"/>
  <c r="R92" i="90"/>
  <c r="P92" i="90"/>
  <c r="O92" i="90"/>
  <c r="N92" i="90"/>
  <c r="M92" i="90"/>
  <c r="J92" i="90"/>
  <c r="I92" i="90"/>
  <c r="Q91" i="90"/>
  <c r="L91" i="90"/>
  <c r="G91" i="90"/>
  <c r="G90" i="90" s="1"/>
  <c r="W90" i="90"/>
  <c r="V90" i="90"/>
  <c r="U90" i="90"/>
  <c r="T90" i="90"/>
  <c r="S90" i="90"/>
  <c r="R90" i="90"/>
  <c r="Q90" i="90"/>
  <c r="P90" i="90"/>
  <c r="O90" i="90"/>
  <c r="N90" i="90"/>
  <c r="M90" i="90"/>
  <c r="L90" i="90"/>
  <c r="K90" i="90"/>
  <c r="J90" i="90"/>
  <c r="I90" i="90"/>
  <c r="H90" i="90"/>
  <c r="Q89" i="90"/>
  <c r="L89" i="90"/>
  <c r="G89" i="90"/>
  <c r="Q88" i="90"/>
  <c r="L88" i="90"/>
  <c r="G88" i="90"/>
  <c r="Q87" i="90"/>
  <c r="L87" i="90"/>
  <c r="G87" i="90"/>
  <c r="Q86" i="90"/>
  <c r="L86" i="90"/>
  <c r="G86" i="90"/>
  <c r="Q85" i="90"/>
  <c r="L85" i="90"/>
  <c r="G85" i="90"/>
  <c r="Q84" i="90"/>
  <c r="Q83" i="90" s="1"/>
  <c r="Q82" i="90" s="1"/>
  <c r="L84" i="90"/>
  <c r="L83" i="90" s="1"/>
  <c r="L82" i="90" s="1"/>
  <c r="G84" i="90"/>
  <c r="W83" i="90"/>
  <c r="W82" i="90" s="1"/>
  <c r="V83" i="90"/>
  <c r="U83" i="90"/>
  <c r="T83" i="90"/>
  <c r="T82" i="90" s="1"/>
  <c r="S83" i="90"/>
  <c r="S82" i="90" s="1"/>
  <c r="R83" i="90"/>
  <c r="P83" i="90"/>
  <c r="O83" i="90"/>
  <c r="N83" i="90"/>
  <c r="M83" i="90"/>
  <c r="K83" i="90"/>
  <c r="K82" i="90" s="1"/>
  <c r="J83" i="90"/>
  <c r="I83" i="90"/>
  <c r="H83" i="90"/>
  <c r="H82" i="90" s="1"/>
  <c r="G83" i="90"/>
  <c r="V82" i="90"/>
  <c r="U82" i="90"/>
  <c r="R82" i="90"/>
  <c r="P82" i="90"/>
  <c r="O82" i="90"/>
  <c r="N82" i="90"/>
  <c r="M82" i="90"/>
  <c r="J82" i="90"/>
  <c r="I82" i="90"/>
  <c r="Q81" i="90"/>
  <c r="L81" i="90"/>
  <c r="G81" i="90"/>
  <c r="Q80" i="90"/>
  <c r="L80" i="90"/>
  <c r="L77" i="90" s="1"/>
  <c r="G80" i="90"/>
  <c r="Q79" i="90"/>
  <c r="Q77" i="90" s="1"/>
  <c r="L79" i="90"/>
  <c r="G79" i="90"/>
  <c r="Q78" i="90"/>
  <c r="L78" i="90"/>
  <c r="G78" i="90"/>
  <c r="V77" i="90"/>
  <c r="U77" i="90"/>
  <c r="T77" i="90"/>
  <c r="S77" i="90"/>
  <c r="R77" i="90"/>
  <c r="P77" i="90"/>
  <c r="O77" i="90"/>
  <c r="N77" i="90"/>
  <c r="M77" i="90"/>
  <c r="K77" i="90"/>
  <c r="J77" i="90"/>
  <c r="I77" i="90"/>
  <c r="H77" i="90"/>
  <c r="G77" i="90"/>
  <c r="Q76" i="90"/>
  <c r="L76" i="90"/>
  <c r="G76" i="90"/>
  <c r="Q75" i="90"/>
  <c r="L75" i="90"/>
  <c r="G75" i="90"/>
  <c r="Q74" i="90"/>
  <c r="L74" i="90"/>
  <c r="G74" i="90"/>
  <c r="Q73" i="90"/>
  <c r="L73" i="90"/>
  <c r="G73" i="90"/>
  <c r="Q72" i="90"/>
  <c r="L72" i="90"/>
  <c r="G72" i="90"/>
  <c r="Q71" i="90"/>
  <c r="L71" i="90"/>
  <c r="G71" i="90"/>
  <c r="Q70" i="90"/>
  <c r="L70" i="90"/>
  <c r="G70" i="90"/>
  <c r="Q69" i="90"/>
  <c r="L69" i="90"/>
  <c r="G69" i="90"/>
  <c r="Q68" i="90"/>
  <c r="Q65" i="90" s="1"/>
  <c r="L68" i="90"/>
  <c r="G68" i="90"/>
  <c r="G65" i="90" s="1"/>
  <c r="Q67" i="90"/>
  <c r="L67" i="90"/>
  <c r="G67" i="90"/>
  <c r="Q66" i="90"/>
  <c r="L66" i="90"/>
  <c r="G66" i="90"/>
  <c r="W65" i="90"/>
  <c r="V65" i="90"/>
  <c r="U65" i="90"/>
  <c r="T65" i="90"/>
  <c r="S65" i="90"/>
  <c r="R65" i="90"/>
  <c r="P65" i="90"/>
  <c r="O65" i="90"/>
  <c r="N65" i="90"/>
  <c r="M65" i="90"/>
  <c r="L65" i="90"/>
  <c r="K65" i="90"/>
  <c r="J65" i="90"/>
  <c r="I65" i="90"/>
  <c r="H65" i="90"/>
  <c r="Q64" i="90"/>
  <c r="L64" i="90"/>
  <c r="G64" i="90"/>
  <c r="Q63" i="90"/>
  <c r="L63" i="90"/>
  <c r="G63" i="90"/>
  <c r="Q62" i="90"/>
  <c r="L62" i="90"/>
  <c r="G62" i="90"/>
  <c r="Q61" i="90"/>
  <c r="L61" i="90"/>
  <c r="L58" i="90" s="1"/>
  <c r="G61" i="90"/>
  <c r="Q60" i="90"/>
  <c r="L60" i="90"/>
  <c r="G60" i="90"/>
  <c r="Q59" i="90"/>
  <c r="Q58" i="90" s="1"/>
  <c r="L59" i="90"/>
  <c r="G59" i="90"/>
  <c r="V58" i="90"/>
  <c r="U58" i="90"/>
  <c r="T58" i="90"/>
  <c r="S58" i="90"/>
  <c r="R58" i="90"/>
  <c r="P58" i="90"/>
  <c r="O58" i="90"/>
  <c r="N58" i="90"/>
  <c r="M58" i="90"/>
  <c r="K58" i="90"/>
  <c r="J58" i="90"/>
  <c r="I58" i="90"/>
  <c r="H58" i="90"/>
  <c r="G58" i="90"/>
  <c r="Q57" i="90"/>
  <c r="L57" i="90"/>
  <c r="G57" i="90"/>
  <c r="G54" i="90" s="1"/>
  <c r="Q56" i="90"/>
  <c r="L56" i="90"/>
  <c r="G56" i="90"/>
  <c r="Q55" i="90"/>
  <c r="L55" i="90"/>
  <c r="G55" i="90"/>
  <c r="V54" i="90"/>
  <c r="U54" i="90"/>
  <c r="T54" i="90"/>
  <c r="S54" i="90"/>
  <c r="R54" i="90"/>
  <c r="Q54" i="90"/>
  <c r="P54" i="90"/>
  <c r="O54" i="90"/>
  <c r="N54" i="90"/>
  <c r="M54" i="90"/>
  <c r="L54" i="90"/>
  <c r="K54" i="90"/>
  <c r="J54" i="90"/>
  <c r="I54" i="90"/>
  <c r="H54" i="90"/>
  <c r="Q53" i="90"/>
  <c r="L53" i="90"/>
  <c r="L49" i="90" s="1"/>
  <c r="G53" i="90"/>
  <c r="Q52" i="90"/>
  <c r="L52" i="90"/>
  <c r="G52" i="90"/>
  <c r="Q51" i="90"/>
  <c r="L51" i="90"/>
  <c r="G51" i="90"/>
  <c r="Q50" i="90"/>
  <c r="L50" i="90"/>
  <c r="G50" i="90"/>
  <c r="G49" i="90" s="1"/>
  <c r="W49" i="90"/>
  <c r="V49" i="90"/>
  <c r="U49" i="90"/>
  <c r="T49" i="90"/>
  <c r="S49" i="90"/>
  <c r="R49" i="90"/>
  <c r="Q49" i="90"/>
  <c r="P49" i="90"/>
  <c r="O49" i="90"/>
  <c r="N49" i="90"/>
  <c r="M49" i="90"/>
  <c r="K49" i="90"/>
  <c r="J49" i="90"/>
  <c r="I49" i="90"/>
  <c r="H49" i="90"/>
  <c r="Q47" i="90"/>
  <c r="L47" i="90"/>
  <c r="G47" i="90"/>
  <c r="Q46" i="90"/>
  <c r="L46" i="90"/>
  <c r="G46" i="90"/>
  <c r="Q45" i="90"/>
  <c r="L45" i="90"/>
  <c r="G45" i="90"/>
  <c r="G43" i="90" s="1"/>
  <c r="Q44" i="90"/>
  <c r="L44" i="90"/>
  <c r="L43" i="90" s="1"/>
  <c r="G44" i="90"/>
  <c r="W43" i="90"/>
  <c r="V43" i="90"/>
  <c r="U43" i="90"/>
  <c r="U40" i="90" s="1"/>
  <c r="U39" i="90" s="1"/>
  <c r="U24" i="90" s="1"/>
  <c r="T43" i="90"/>
  <c r="S43" i="90"/>
  <c r="R43" i="90"/>
  <c r="Q43" i="90"/>
  <c r="P43" i="90"/>
  <c r="O43" i="90"/>
  <c r="O24" i="90" s="1"/>
  <c r="N43" i="90"/>
  <c r="M43" i="90"/>
  <c r="M40" i="90" s="1"/>
  <c r="K43" i="90"/>
  <c r="J43" i="90"/>
  <c r="I43" i="90"/>
  <c r="H43" i="90"/>
  <c r="Y42" i="90"/>
  <c r="Q42" i="90"/>
  <c r="L42" i="90"/>
  <c r="Z42" i="90" s="1"/>
  <c r="G42" i="90"/>
  <c r="Y41" i="90"/>
  <c r="Q41" i="90"/>
  <c r="L41" i="90"/>
  <c r="Z41" i="90" s="1"/>
  <c r="G41" i="90"/>
  <c r="Y40" i="90"/>
  <c r="W40" i="90"/>
  <c r="V40" i="90"/>
  <c r="V39" i="90" s="1"/>
  <c r="S40" i="90"/>
  <c r="Q40" i="90" s="1"/>
  <c r="Q39" i="90" s="1"/>
  <c r="P40" i="90"/>
  <c r="N40" i="90"/>
  <c r="K40" i="90"/>
  <c r="G40" i="90" s="1"/>
  <c r="G39" i="90" s="1"/>
  <c r="W39" i="90"/>
  <c r="T39" i="90"/>
  <c r="S39" i="90"/>
  <c r="R39" i="90"/>
  <c r="P39" i="90"/>
  <c r="O39" i="90"/>
  <c r="N39" i="90"/>
  <c r="K39" i="90"/>
  <c r="J39" i="90"/>
  <c r="I39" i="90"/>
  <c r="H39" i="90"/>
  <c r="Q38" i="90"/>
  <c r="L38" i="90"/>
  <c r="G38" i="90"/>
  <c r="Q37" i="90"/>
  <c r="L37" i="90"/>
  <c r="G37" i="90"/>
  <c r="Q36" i="90"/>
  <c r="L36" i="90"/>
  <c r="G36" i="90"/>
  <c r="Q35" i="90"/>
  <c r="L35" i="90"/>
  <c r="G35" i="90"/>
  <c r="Q34" i="90"/>
  <c r="L34" i="90"/>
  <c r="G34" i="90"/>
  <c r="Q33" i="90"/>
  <c r="L33" i="90"/>
  <c r="G33" i="90"/>
  <c r="Q32" i="90"/>
  <c r="L32" i="90"/>
  <c r="G32" i="90"/>
  <c r="Q31" i="90"/>
  <c r="Q27" i="90" s="1"/>
  <c r="L31" i="90"/>
  <c r="G31" i="90"/>
  <c r="Q30" i="90"/>
  <c r="L30" i="90"/>
  <c r="G30" i="90"/>
  <c r="Q29" i="90"/>
  <c r="L29" i="90"/>
  <c r="G29" i="90"/>
  <c r="Q28" i="90"/>
  <c r="L28" i="90"/>
  <c r="G28" i="90"/>
  <c r="G27" i="90" s="1"/>
  <c r="V27" i="90"/>
  <c r="U27" i="90"/>
  <c r="T27" i="90"/>
  <c r="S27" i="90"/>
  <c r="R27" i="90"/>
  <c r="P27" i="90"/>
  <c r="O27" i="90"/>
  <c r="N27" i="90"/>
  <c r="M27" i="90"/>
  <c r="L27" i="90"/>
  <c r="K27" i="90"/>
  <c r="J27" i="90"/>
  <c r="I27" i="90"/>
  <c r="H27" i="90"/>
  <c r="Q26" i="90"/>
  <c r="Q25" i="90" s="1"/>
  <c r="L26" i="90"/>
  <c r="L25" i="90" s="1"/>
  <c r="G26" i="90"/>
  <c r="W25" i="90"/>
  <c r="W24" i="90" s="1"/>
  <c r="V25" i="90"/>
  <c r="V24" i="90" s="1"/>
  <c r="V10" i="90" s="1"/>
  <c r="U25" i="90"/>
  <c r="T25" i="90"/>
  <c r="T24" i="90" s="1"/>
  <c r="S25" i="90"/>
  <c r="S24" i="90" s="1"/>
  <c r="R25" i="90"/>
  <c r="R24" i="90" s="1"/>
  <c r="P25" i="90"/>
  <c r="P24" i="90" s="1"/>
  <c r="O25" i="90"/>
  <c r="N25" i="90"/>
  <c r="N24" i="90" s="1"/>
  <c r="M25" i="90"/>
  <c r="K25" i="90"/>
  <c r="K24" i="90" s="1"/>
  <c r="J25" i="90"/>
  <c r="J24" i="90" s="1"/>
  <c r="I25" i="90"/>
  <c r="H25" i="90"/>
  <c r="H24" i="90" s="1"/>
  <c r="G25" i="90"/>
  <c r="G24" i="90" s="1"/>
  <c r="I24" i="90"/>
  <c r="Y23" i="90"/>
  <c r="Q23" i="90"/>
  <c r="Q22" i="90" s="1"/>
  <c r="Q21" i="90" s="1"/>
  <c r="L23" i="90"/>
  <c r="Z23" i="90" s="1"/>
  <c r="G23" i="90"/>
  <c r="W22" i="90"/>
  <c r="V22" i="90"/>
  <c r="U22" i="90"/>
  <c r="U21" i="90" s="1"/>
  <c r="T22" i="90"/>
  <c r="S22" i="90"/>
  <c r="R22" i="90"/>
  <c r="P22" i="90"/>
  <c r="O22" i="90"/>
  <c r="Y22" i="90" s="1"/>
  <c r="Z22" i="90" s="1"/>
  <c r="N22" i="90"/>
  <c r="M22" i="90"/>
  <c r="L22" i="90"/>
  <c r="L21" i="90" s="1"/>
  <c r="K22" i="90"/>
  <c r="J22" i="90"/>
  <c r="I22" i="90"/>
  <c r="I21" i="90" s="1"/>
  <c r="H22" i="90"/>
  <c r="G22" i="90"/>
  <c r="W21" i="90"/>
  <c r="V21" i="90"/>
  <c r="T21" i="90"/>
  <c r="S21" i="90"/>
  <c r="R21" i="90"/>
  <c r="P21" i="90"/>
  <c r="N21" i="90"/>
  <c r="K21" i="90"/>
  <c r="J21" i="90"/>
  <c r="H21" i="90"/>
  <c r="G21" i="90"/>
  <c r="Q20" i="90"/>
  <c r="L20" i="90"/>
  <c r="G20" i="90"/>
  <c r="Q19" i="90"/>
  <c r="L19" i="90"/>
  <c r="G19" i="90"/>
  <c r="Q18" i="90"/>
  <c r="L18" i="90"/>
  <c r="G18" i="90"/>
  <c r="G17" i="90" s="1"/>
  <c r="W17" i="90"/>
  <c r="V17" i="90"/>
  <c r="U17" i="90"/>
  <c r="T17" i="90"/>
  <c r="S17" i="90"/>
  <c r="R17" i="90"/>
  <c r="Q17" i="90"/>
  <c r="P17" i="90"/>
  <c r="O17" i="90"/>
  <c r="N17" i="90"/>
  <c r="M17" i="90"/>
  <c r="L17" i="90"/>
  <c r="K17" i="90"/>
  <c r="J17" i="90"/>
  <c r="I17" i="90"/>
  <c r="H17" i="90"/>
  <c r="Q16" i="90"/>
  <c r="L16" i="90"/>
  <c r="G16" i="90"/>
  <c r="Q15" i="90"/>
  <c r="J15" i="90"/>
  <c r="G15" i="90"/>
  <c r="Q14" i="90"/>
  <c r="L14" i="90"/>
  <c r="G14" i="90"/>
  <c r="Q13" i="90"/>
  <c r="Q12" i="90" s="1"/>
  <c r="Q11" i="90" s="1"/>
  <c r="L13" i="90"/>
  <c r="L12" i="90" s="1"/>
  <c r="G13" i="90"/>
  <c r="G12" i="90" s="1"/>
  <c r="G11" i="90" s="1"/>
  <c r="W12" i="90"/>
  <c r="V12" i="90"/>
  <c r="U12" i="90"/>
  <c r="T12" i="90"/>
  <c r="T11" i="90" s="1"/>
  <c r="T10" i="90" s="1"/>
  <c r="AC12" i="90" s="1"/>
  <c r="S12" i="90"/>
  <c r="R12" i="90"/>
  <c r="R11" i="90" s="1"/>
  <c r="R10" i="90" s="1"/>
  <c r="AB12" i="90" s="1"/>
  <c r="P12" i="90"/>
  <c r="O12" i="90"/>
  <c r="N12" i="90"/>
  <c r="Y12" i="90" s="1"/>
  <c r="M12" i="90"/>
  <c r="K12" i="90"/>
  <c r="J12" i="90"/>
  <c r="I12" i="90"/>
  <c r="H12" i="90"/>
  <c r="H11" i="90" s="1"/>
  <c r="W11" i="90"/>
  <c r="V11" i="90"/>
  <c r="U11" i="90"/>
  <c r="U10" i="90" s="1"/>
  <c r="S11" i="90"/>
  <c r="P11" i="90"/>
  <c r="O11" i="90"/>
  <c r="M11" i="90"/>
  <c r="K11" i="90"/>
  <c r="J11" i="90"/>
  <c r="I11" i="90"/>
  <c r="S10" i="90" l="1"/>
  <c r="L161" i="90"/>
  <c r="Z227" i="90"/>
  <c r="H10" i="90"/>
  <c r="G97" i="90"/>
  <c r="G10" i="90" s="1"/>
  <c r="Z125" i="90"/>
  <c r="G336" i="90"/>
  <c r="G334" i="90" s="1"/>
  <c r="J334" i="90"/>
  <c r="J97" i="90" s="1"/>
  <c r="J10" i="90" s="1"/>
  <c r="L341" i="90"/>
  <c r="W10" i="90"/>
  <c r="I10" i="90"/>
  <c r="K10" i="90"/>
  <c r="Q274" i="90"/>
  <c r="Q24" i="90"/>
  <c r="G310" i="90"/>
  <c r="L11" i="90"/>
  <c r="Z12" i="90"/>
  <c r="M10" i="90"/>
  <c r="Q310" i="90"/>
  <c r="L40" i="90"/>
  <c r="M39" i="90"/>
  <c r="M24" i="90" s="1"/>
  <c r="P10" i="90"/>
  <c r="G82" i="90"/>
  <c r="O21" i="90"/>
  <c r="Y21" i="90" s="1"/>
  <c r="Z21" i="90" s="1"/>
  <c r="Q162" i="90"/>
  <c r="Q161" i="90" s="1"/>
  <c r="Q97" i="90" s="1"/>
  <c r="Q183" i="90"/>
  <c r="L242" i="90"/>
  <c r="L240" i="90" s="1"/>
  <c r="L97" i="90" s="1"/>
  <c r="Z97" i="90" s="1"/>
  <c r="G244" i="90"/>
  <c r="G240" i="90" s="1"/>
  <c r="O193" i="90"/>
  <c r="O97" i="90" s="1"/>
  <c r="Y97" i="90" s="1"/>
  <c r="N11" i="90"/>
  <c r="L311" i="90"/>
  <c r="L310" i="90" s="1"/>
  <c r="Q10" i="90" l="1"/>
  <c r="O10" i="90"/>
  <c r="N10" i="90"/>
  <c r="Y10" i="90" s="1"/>
  <c r="Y11" i="90"/>
  <c r="Z11" i="90" s="1"/>
  <c r="Z40" i="90"/>
  <c r="L39" i="90"/>
  <c r="L24" i="90" s="1"/>
  <c r="L10" i="90" s="1"/>
  <c r="Z10" i="90" s="1"/>
  <c r="D89" i="81" l="1"/>
  <c r="C24" i="80"/>
  <c r="C20" i="80"/>
  <c r="C19" i="80"/>
  <c r="C18" i="80"/>
  <c r="C16" i="80"/>
  <c r="C45" i="89"/>
  <c r="M44" i="89"/>
  <c r="C44" i="89" s="1"/>
  <c r="D88" i="81" s="1"/>
  <c r="M43" i="89"/>
  <c r="C43" i="89" s="1"/>
  <c r="D87" i="81" s="1"/>
  <c r="M42" i="89"/>
  <c r="C42" i="89" s="1"/>
  <c r="D86" i="81" s="1"/>
  <c r="S41" i="89"/>
  <c r="U41" i="89" s="1"/>
  <c r="N41" i="89"/>
  <c r="M41" i="89"/>
  <c r="C41" i="89" s="1"/>
  <c r="D85" i="81" s="1"/>
  <c r="N40" i="89"/>
  <c r="M40" i="89"/>
  <c r="H40" i="89"/>
  <c r="C40" i="89" s="1"/>
  <c r="D84" i="81" s="1"/>
  <c r="M39" i="89"/>
  <c r="F39" i="89"/>
  <c r="C39" i="89" s="1"/>
  <c r="D83" i="81" s="1"/>
  <c r="N38" i="89"/>
  <c r="M38" i="89"/>
  <c r="F38" i="89"/>
  <c r="N37" i="89"/>
  <c r="M37" i="89"/>
  <c r="F37" i="89"/>
  <c r="N36" i="89"/>
  <c r="M36" i="89"/>
  <c r="F36" i="89"/>
  <c r="U35" i="89"/>
  <c r="M35" i="89"/>
  <c r="F35" i="89"/>
  <c r="N34" i="89"/>
  <c r="M34" i="89"/>
  <c r="F34" i="89"/>
  <c r="N33" i="89"/>
  <c r="M33" i="89"/>
  <c r="F33" i="89"/>
  <c r="M32" i="89"/>
  <c r="C32" i="89" s="1"/>
  <c r="D24" i="81" s="1"/>
  <c r="M31" i="89"/>
  <c r="C31" i="89" s="1"/>
  <c r="D76" i="81" s="1"/>
  <c r="W30" i="89"/>
  <c r="N30" i="89"/>
  <c r="M30" i="89"/>
  <c r="U29" i="89"/>
  <c r="N29" i="89"/>
  <c r="M29" i="89"/>
  <c r="L29" i="89"/>
  <c r="H29" i="89"/>
  <c r="F29" i="89"/>
  <c r="N28" i="89"/>
  <c r="C28" i="89" s="1"/>
  <c r="D41" i="81" s="1"/>
  <c r="N27" i="89"/>
  <c r="C27" i="89" s="1"/>
  <c r="D73" i="81" s="1"/>
  <c r="N26" i="89"/>
  <c r="C26" i="89" s="1"/>
  <c r="D72" i="81" s="1"/>
  <c r="N25" i="89"/>
  <c r="C25" i="89" s="1"/>
  <c r="D67" i="81" s="1"/>
  <c r="N24" i="89"/>
  <c r="C24" i="89" s="1"/>
  <c r="D17" i="81" s="1"/>
  <c r="N23" i="89"/>
  <c r="C23" i="89" s="1"/>
  <c r="D66" i="81" s="1"/>
  <c r="N22" i="89"/>
  <c r="C22" i="89" s="1"/>
  <c r="D21" i="81" s="1"/>
  <c r="N21" i="89"/>
  <c r="M21" i="89"/>
  <c r="M20" i="89"/>
  <c r="C20" i="89" s="1"/>
  <c r="D30" i="81" s="1"/>
  <c r="M19" i="89"/>
  <c r="C19" i="89" s="1"/>
  <c r="D13" i="81" s="1"/>
  <c r="M18" i="89"/>
  <c r="C18" i="89" s="1"/>
  <c r="D15" i="81" s="1"/>
  <c r="M17" i="89"/>
  <c r="C17" i="89" s="1"/>
  <c r="D12" i="81" s="1"/>
  <c r="F16" i="89"/>
  <c r="C16" i="89" s="1"/>
  <c r="D14" i="81" s="1"/>
  <c r="M15" i="89"/>
  <c r="C15" i="89" s="1"/>
  <c r="M14" i="89"/>
  <c r="C14" i="89" s="1"/>
  <c r="N13" i="89"/>
  <c r="C13" i="89" s="1"/>
  <c r="N12" i="89"/>
  <c r="C12" i="89" s="1"/>
  <c r="D103" i="30" s="1"/>
  <c r="E11" i="89"/>
  <c r="C11" i="89" s="1"/>
  <c r="D39" i="81" s="1"/>
  <c r="D10" i="89"/>
  <c r="C10" i="89" s="1"/>
  <c r="D38" i="81" s="1"/>
  <c r="D9" i="89"/>
  <c r="C9" i="89" s="1"/>
  <c r="D37" i="81" s="1"/>
  <c r="Q8" i="89"/>
  <c r="P8" i="89"/>
  <c r="O8" i="89"/>
  <c r="L8" i="89"/>
  <c r="C21" i="80" s="1"/>
  <c r="K8" i="89"/>
  <c r="J8" i="89"/>
  <c r="I8" i="89"/>
  <c r="G8" i="89"/>
  <c r="E8" i="89" l="1"/>
  <c r="D70" i="81"/>
  <c r="D102" i="30"/>
  <c r="D71" i="81"/>
  <c r="D72" i="30"/>
  <c r="D10" i="30" s="1"/>
  <c r="D69" i="81"/>
  <c r="D86" i="30"/>
  <c r="D94" i="81"/>
  <c r="D68" i="81"/>
  <c r="C36" i="89"/>
  <c r="D80" i="81" s="1"/>
  <c r="C33" i="89"/>
  <c r="C37" i="89"/>
  <c r="D81" i="81" s="1"/>
  <c r="C29" i="89"/>
  <c r="D74" i="81" s="1"/>
  <c r="C21" i="89"/>
  <c r="D18" i="81" s="1"/>
  <c r="D8" i="89"/>
  <c r="C38" i="89"/>
  <c r="C34" i="89"/>
  <c r="D78" i="81" s="1"/>
  <c r="H8" i="89"/>
  <c r="C17" i="80" s="1"/>
  <c r="F8" i="89"/>
  <c r="C15" i="80" s="1"/>
  <c r="C30" i="89"/>
  <c r="C35" i="89"/>
  <c r="V41" i="89"/>
  <c r="M8" i="89"/>
  <c r="N8" i="89"/>
  <c r="C23" i="80" s="1"/>
  <c r="U33" i="89" l="1"/>
  <c r="D77" i="81"/>
  <c r="T38" i="89"/>
  <c r="D82" i="81"/>
  <c r="C8" i="89"/>
  <c r="S9" i="89" s="1"/>
  <c r="C22" i="80"/>
  <c r="V35" i="89"/>
  <c r="D79" i="81"/>
  <c r="V29" i="89"/>
  <c r="W31" i="89"/>
  <c r="D75" i="81"/>
  <c r="E12" i="30"/>
  <c r="C12" i="30" s="1"/>
  <c r="E13" i="30"/>
  <c r="C13" i="30" s="1"/>
  <c r="E14" i="30"/>
  <c r="C14" i="30" s="1"/>
  <c r="E15" i="30"/>
  <c r="C15" i="30" s="1"/>
  <c r="E16" i="30"/>
  <c r="C16" i="30" s="1"/>
  <c r="E17" i="30"/>
  <c r="C17" i="30" s="1"/>
  <c r="E18" i="30"/>
  <c r="C18" i="30" s="1"/>
  <c r="E19" i="30"/>
  <c r="C19" i="30" s="1"/>
  <c r="E20" i="30"/>
  <c r="C20" i="30" s="1"/>
  <c r="E21" i="30"/>
  <c r="C21" i="30" s="1"/>
  <c r="E22" i="30"/>
  <c r="C22" i="30" s="1"/>
  <c r="E23" i="30"/>
  <c r="C23" i="30" s="1"/>
  <c r="E24" i="30"/>
  <c r="C24" i="30" s="1"/>
  <c r="E25" i="30"/>
  <c r="C25" i="30" s="1"/>
  <c r="E26" i="30"/>
  <c r="C26" i="30" s="1"/>
  <c r="E27" i="30"/>
  <c r="C27" i="30" s="1"/>
  <c r="E28" i="30"/>
  <c r="C28" i="30" s="1"/>
  <c r="E29" i="30"/>
  <c r="C29" i="30" s="1"/>
  <c r="E30" i="30"/>
  <c r="C30" i="30" s="1"/>
  <c r="E31" i="30"/>
  <c r="C31" i="30" s="1"/>
  <c r="E32" i="30"/>
  <c r="C32" i="30" s="1"/>
  <c r="E33" i="30"/>
  <c r="C33" i="30" s="1"/>
  <c r="E34" i="30"/>
  <c r="C34" i="30" s="1"/>
  <c r="E35" i="30"/>
  <c r="C35" i="30" s="1"/>
  <c r="E36" i="30"/>
  <c r="C36" i="30" s="1"/>
  <c r="E37" i="30"/>
  <c r="C37" i="30" s="1"/>
  <c r="E38" i="30"/>
  <c r="C38" i="30" s="1"/>
  <c r="E39" i="30"/>
  <c r="C39" i="30" s="1"/>
  <c r="E40" i="30"/>
  <c r="C40" i="30" s="1"/>
  <c r="E41" i="30"/>
  <c r="C41" i="30" s="1"/>
  <c r="E42" i="30"/>
  <c r="C42" i="30" s="1"/>
  <c r="E43" i="30"/>
  <c r="C43" i="30" s="1"/>
  <c r="E44" i="30"/>
  <c r="C44" i="30" s="1"/>
  <c r="E45" i="30"/>
  <c r="C45" i="30" s="1"/>
  <c r="E46" i="30"/>
  <c r="C46" i="30" s="1"/>
  <c r="E47" i="30"/>
  <c r="C47" i="30" s="1"/>
  <c r="E48" i="30"/>
  <c r="C48" i="30" s="1"/>
  <c r="E49" i="30"/>
  <c r="C49" i="30" s="1"/>
  <c r="E50" i="30"/>
  <c r="C50" i="30" s="1"/>
  <c r="E51" i="30"/>
  <c r="C51" i="30" s="1"/>
  <c r="E52" i="30"/>
  <c r="C52" i="30" s="1"/>
  <c r="E53" i="30"/>
  <c r="C53" i="30" s="1"/>
  <c r="E54" i="30"/>
  <c r="C54" i="30" s="1"/>
  <c r="E55" i="30"/>
  <c r="C55" i="30" s="1"/>
  <c r="E56" i="30"/>
  <c r="C56" i="30" s="1"/>
  <c r="E57" i="30"/>
  <c r="C57" i="30" s="1"/>
  <c r="E58" i="30"/>
  <c r="C58" i="30" s="1"/>
  <c r="E59" i="30"/>
  <c r="C59" i="30" s="1"/>
  <c r="E60" i="30"/>
  <c r="C60" i="30" s="1"/>
  <c r="E61" i="30"/>
  <c r="C61" i="30" s="1"/>
  <c r="E62" i="30"/>
  <c r="C62" i="30" s="1"/>
  <c r="E63" i="30"/>
  <c r="C63" i="30" s="1"/>
  <c r="E64" i="30"/>
  <c r="C64" i="30" s="1"/>
  <c r="E65" i="30"/>
  <c r="C65" i="30" s="1"/>
  <c r="E66" i="30"/>
  <c r="C66" i="30" s="1"/>
  <c r="E67" i="30"/>
  <c r="C67" i="30" s="1"/>
  <c r="E68" i="30"/>
  <c r="C68" i="30" s="1"/>
  <c r="E69" i="30"/>
  <c r="C69" i="30" s="1"/>
  <c r="E70" i="30"/>
  <c r="C70" i="30" s="1"/>
  <c r="E71" i="30"/>
  <c r="C71" i="30" s="1"/>
  <c r="E72" i="30"/>
  <c r="C72" i="30" s="1"/>
  <c r="E73" i="30"/>
  <c r="C73" i="30" s="1"/>
  <c r="E74" i="30"/>
  <c r="C74" i="30" s="1"/>
  <c r="E75" i="30"/>
  <c r="C75" i="30" s="1"/>
  <c r="E76" i="30"/>
  <c r="C76" i="30" s="1"/>
  <c r="E77" i="30"/>
  <c r="C77" i="30" s="1"/>
  <c r="E78" i="30"/>
  <c r="C78" i="30" s="1"/>
  <c r="E79" i="30"/>
  <c r="C79" i="30" s="1"/>
  <c r="E80" i="30"/>
  <c r="C80" i="30" s="1"/>
  <c r="E81" i="30"/>
  <c r="C81" i="30" s="1"/>
  <c r="E82" i="30"/>
  <c r="C82" i="30" s="1"/>
  <c r="E83" i="30"/>
  <c r="C83" i="30" s="1"/>
  <c r="E84" i="30"/>
  <c r="C84" i="30" s="1"/>
  <c r="E85" i="30"/>
  <c r="C85" i="30" s="1"/>
  <c r="E86" i="30"/>
  <c r="C86" i="30" s="1"/>
  <c r="E87" i="30"/>
  <c r="C87" i="30" s="1"/>
  <c r="E88" i="30"/>
  <c r="C88" i="30" s="1"/>
  <c r="E89" i="30"/>
  <c r="C89" i="30" s="1"/>
  <c r="E90" i="30"/>
  <c r="C90" i="30" s="1"/>
  <c r="E91" i="30"/>
  <c r="C91" i="30" s="1"/>
  <c r="E92" i="30"/>
  <c r="C92" i="30" s="1"/>
  <c r="E93" i="30"/>
  <c r="C93" i="30" s="1"/>
  <c r="E94" i="30"/>
  <c r="C94" i="30" s="1"/>
  <c r="E95" i="30"/>
  <c r="C95" i="30" s="1"/>
  <c r="E96" i="30"/>
  <c r="C96" i="30" s="1"/>
  <c r="E97" i="30"/>
  <c r="C97" i="30" s="1"/>
  <c r="E98" i="30"/>
  <c r="C98" i="30" s="1"/>
  <c r="E99" i="30"/>
  <c r="C99" i="30" s="1"/>
  <c r="E100" i="30"/>
  <c r="C100" i="30" s="1"/>
  <c r="E101" i="30"/>
  <c r="C101" i="30" s="1"/>
  <c r="E102" i="30"/>
  <c r="C102" i="30" s="1"/>
  <c r="E103" i="30"/>
  <c r="C103" i="30" s="1"/>
  <c r="E104" i="30"/>
  <c r="C104" i="30" s="1"/>
  <c r="E105" i="30"/>
  <c r="C105" i="30" s="1"/>
  <c r="E106" i="30"/>
  <c r="C106" i="30" s="1"/>
  <c r="E107" i="30"/>
  <c r="C107" i="30" s="1"/>
  <c r="E108" i="30"/>
  <c r="C108" i="30" s="1"/>
  <c r="E109" i="30"/>
  <c r="C109" i="30" s="1"/>
  <c r="E11" i="30"/>
  <c r="C13" i="84"/>
  <c r="C14" i="84"/>
  <c r="C15" i="84"/>
  <c r="C16" i="84"/>
  <c r="C17" i="84"/>
  <c r="C18" i="84"/>
  <c r="C19" i="84"/>
  <c r="C20" i="84"/>
  <c r="C21" i="84"/>
  <c r="C22" i="84"/>
  <c r="C23" i="84"/>
  <c r="C24" i="84"/>
  <c r="C25" i="84"/>
  <c r="C26" i="84"/>
  <c r="C27" i="84"/>
  <c r="C28" i="84"/>
  <c r="C29" i="84"/>
  <c r="C30" i="84"/>
  <c r="C31" i="84"/>
  <c r="C32" i="84"/>
  <c r="C33" i="84"/>
  <c r="C34" i="84"/>
  <c r="C35" i="84"/>
  <c r="C36" i="84"/>
  <c r="C37" i="84"/>
  <c r="C38" i="84"/>
  <c r="C39" i="84"/>
  <c r="C40" i="84"/>
  <c r="C41" i="84"/>
  <c r="C42" i="84"/>
  <c r="C43" i="84"/>
  <c r="C44" i="84"/>
  <c r="C45" i="84"/>
  <c r="C46" i="84"/>
  <c r="C47" i="84"/>
  <c r="C48" i="84"/>
  <c r="C49" i="84"/>
  <c r="C50" i="84"/>
  <c r="C51" i="84"/>
  <c r="C52" i="84"/>
  <c r="C53" i="84"/>
  <c r="C54" i="84"/>
  <c r="C55" i="84"/>
  <c r="C56" i="84"/>
  <c r="C57" i="84"/>
  <c r="C58" i="84"/>
  <c r="C59" i="84"/>
  <c r="C60" i="84"/>
  <c r="C61" i="84"/>
  <c r="C62" i="84"/>
  <c r="C63" i="84"/>
  <c r="C64" i="84"/>
  <c r="C65" i="84"/>
  <c r="C66" i="84"/>
  <c r="C67" i="84"/>
  <c r="C68" i="84"/>
  <c r="C69" i="84"/>
  <c r="C70" i="84"/>
  <c r="C71" i="84"/>
  <c r="C72" i="84"/>
  <c r="C73" i="84"/>
  <c r="C74" i="84"/>
  <c r="C75" i="84"/>
  <c r="C76" i="84"/>
  <c r="C77" i="84"/>
  <c r="C78" i="84"/>
  <c r="C79" i="84"/>
  <c r="C80" i="84"/>
  <c r="C81" i="84"/>
  <c r="C82" i="84"/>
  <c r="C83" i="84"/>
  <c r="C84" i="84"/>
  <c r="C85" i="84"/>
  <c r="C86" i="84"/>
  <c r="C87" i="84"/>
  <c r="C88" i="84"/>
  <c r="C89" i="84"/>
  <c r="C90" i="84"/>
  <c r="C91" i="84"/>
  <c r="C92" i="84"/>
  <c r="C93" i="84"/>
  <c r="C94" i="84"/>
  <c r="C95" i="84"/>
  <c r="C96" i="84"/>
  <c r="C97" i="84"/>
  <c r="C98" i="84"/>
  <c r="C99" i="84"/>
  <c r="C100" i="84"/>
  <c r="C101" i="84"/>
  <c r="C102" i="84"/>
  <c r="C103" i="84"/>
  <c r="C104" i="84"/>
  <c r="C105" i="84"/>
  <c r="C106" i="84"/>
  <c r="C107" i="84"/>
  <c r="C108" i="84"/>
  <c r="C109" i="84"/>
  <c r="C110" i="84"/>
  <c r="C12" i="84"/>
  <c r="I11" i="84"/>
  <c r="J13" i="84"/>
  <c r="J14" i="84"/>
  <c r="J15" i="84"/>
  <c r="J16" i="84"/>
  <c r="J17" i="84"/>
  <c r="J18" i="84"/>
  <c r="J19" i="84"/>
  <c r="J20" i="84"/>
  <c r="J21" i="84"/>
  <c r="J22" i="84"/>
  <c r="J23" i="84"/>
  <c r="J24" i="84"/>
  <c r="J25" i="84"/>
  <c r="J26" i="84"/>
  <c r="J27" i="84"/>
  <c r="J28" i="84"/>
  <c r="J29" i="84"/>
  <c r="J30" i="84"/>
  <c r="J31" i="84"/>
  <c r="J32" i="84"/>
  <c r="J33" i="84"/>
  <c r="J34" i="84"/>
  <c r="J35" i="84"/>
  <c r="J36" i="84"/>
  <c r="J37" i="84"/>
  <c r="J38" i="84"/>
  <c r="J39" i="84"/>
  <c r="J40" i="84"/>
  <c r="J41" i="84"/>
  <c r="J42" i="84"/>
  <c r="J43" i="84"/>
  <c r="J44" i="84"/>
  <c r="J45" i="84"/>
  <c r="J46" i="84"/>
  <c r="J47" i="84"/>
  <c r="J48" i="84"/>
  <c r="J49" i="84"/>
  <c r="J50" i="84"/>
  <c r="J51" i="84"/>
  <c r="J52" i="84"/>
  <c r="J53" i="84"/>
  <c r="J54" i="84"/>
  <c r="J55" i="84"/>
  <c r="J56" i="84"/>
  <c r="J57" i="84"/>
  <c r="J58" i="84"/>
  <c r="J59" i="84"/>
  <c r="J60" i="84"/>
  <c r="J61" i="84"/>
  <c r="J62" i="84"/>
  <c r="J63" i="84"/>
  <c r="J64" i="84"/>
  <c r="J65" i="84"/>
  <c r="J66" i="84"/>
  <c r="J67" i="84"/>
  <c r="J68" i="84"/>
  <c r="J69" i="84"/>
  <c r="J70" i="84"/>
  <c r="J71" i="84"/>
  <c r="J72" i="84"/>
  <c r="J73" i="84"/>
  <c r="J74" i="84"/>
  <c r="J75" i="84"/>
  <c r="J76" i="84"/>
  <c r="J77" i="84"/>
  <c r="J78" i="84"/>
  <c r="J79" i="84"/>
  <c r="J80" i="84"/>
  <c r="J81" i="84"/>
  <c r="J82" i="84"/>
  <c r="J83" i="84"/>
  <c r="J84" i="84"/>
  <c r="J85" i="84"/>
  <c r="J86" i="84"/>
  <c r="J87" i="84"/>
  <c r="J88" i="84"/>
  <c r="J89" i="84"/>
  <c r="J90" i="84"/>
  <c r="J91" i="84"/>
  <c r="J92" i="84"/>
  <c r="J93" i="84"/>
  <c r="J94" i="84"/>
  <c r="J95" i="84"/>
  <c r="J96" i="84"/>
  <c r="J97" i="84"/>
  <c r="J98" i="84"/>
  <c r="J99" i="84"/>
  <c r="J100" i="84"/>
  <c r="J101" i="84"/>
  <c r="J102" i="84"/>
  <c r="J103" i="84"/>
  <c r="J104" i="84"/>
  <c r="J105" i="84"/>
  <c r="J106" i="84"/>
  <c r="J107" i="84"/>
  <c r="J108" i="84"/>
  <c r="J109" i="84"/>
  <c r="J110" i="84"/>
  <c r="J12" i="84"/>
  <c r="H12" i="84"/>
  <c r="H13" i="84"/>
  <c r="H14" i="84"/>
  <c r="H15" i="84"/>
  <c r="H16" i="84"/>
  <c r="H17" i="84"/>
  <c r="H18" i="84"/>
  <c r="H19" i="84"/>
  <c r="H20" i="84"/>
  <c r="H21" i="84"/>
  <c r="H22" i="84"/>
  <c r="H23" i="84"/>
  <c r="H24" i="84"/>
  <c r="H25" i="84"/>
  <c r="H26" i="84"/>
  <c r="H27" i="84"/>
  <c r="H28" i="84"/>
  <c r="H29" i="84"/>
  <c r="H30" i="84"/>
  <c r="H31" i="84"/>
  <c r="H32" i="84"/>
  <c r="H33" i="84"/>
  <c r="H34" i="84"/>
  <c r="H35" i="84"/>
  <c r="H36" i="84"/>
  <c r="H37" i="84"/>
  <c r="H38" i="84"/>
  <c r="H39" i="84"/>
  <c r="H40" i="84"/>
  <c r="H41" i="84"/>
  <c r="H42" i="84"/>
  <c r="H43" i="84"/>
  <c r="H44" i="84"/>
  <c r="H45" i="84"/>
  <c r="H46" i="84"/>
  <c r="H47" i="84"/>
  <c r="H48" i="84"/>
  <c r="H49" i="84"/>
  <c r="H50" i="84"/>
  <c r="H51" i="84"/>
  <c r="H52" i="84"/>
  <c r="H53" i="84"/>
  <c r="H54" i="84"/>
  <c r="H55" i="84"/>
  <c r="H56" i="84"/>
  <c r="H57" i="84"/>
  <c r="H58" i="84"/>
  <c r="H59" i="84"/>
  <c r="H60" i="84"/>
  <c r="H61" i="84"/>
  <c r="H62" i="84"/>
  <c r="H63" i="84"/>
  <c r="H64" i="84"/>
  <c r="H65" i="84"/>
  <c r="H66" i="84"/>
  <c r="H67" i="84"/>
  <c r="H68" i="84"/>
  <c r="H69" i="84"/>
  <c r="H70" i="84"/>
  <c r="H71" i="84"/>
  <c r="H72" i="84"/>
  <c r="H73" i="84"/>
  <c r="H74" i="84"/>
  <c r="H75" i="84"/>
  <c r="H76" i="84"/>
  <c r="H77" i="84"/>
  <c r="H78" i="84"/>
  <c r="H79" i="84"/>
  <c r="H80" i="84"/>
  <c r="H81" i="84"/>
  <c r="H82" i="84"/>
  <c r="H83" i="84"/>
  <c r="H84" i="84"/>
  <c r="H85" i="84"/>
  <c r="H86" i="84"/>
  <c r="H87" i="84"/>
  <c r="H88" i="84"/>
  <c r="H89" i="84"/>
  <c r="H90" i="84"/>
  <c r="H91" i="84"/>
  <c r="H92" i="84"/>
  <c r="H93" i="84"/>
  <c r="H94" i="84"/>
  <c r="H95" i="84"/>
  <c r="H96" i="84"/>
  <c r="H97" i="84"/>
  <c r="H98" i="84"/>
  <c r="H99" i="84"/>
  <c r="H100" i="84"/>
  <c r="H101" i="84"/>
  <c r="H102" i="84"/>
  <c r="H103" i="84"/>
  <c r="H104" i="84"/>
  <c r="H105" i="84"/>
  <c r="H106" i="84"/>
  <c r="H107" i="84"/>
  <c r="H108" i="84"/>
  <c r="H109" i="84"/>
  <c r="H110" i="84"/>
  <c r="G12" i="84"/>
  <c r="G13" i="84"/>
  <c r="G14" i="84"/>
  <c r="G15" i="84"/>
  <c r="G16" i="84"/>
  <c r="G17" i="84"/>
  <c r="G18" i="84"/>
  <c r="G19" i="84"/>
  <c r="G20" i="84"/>
  <c r="G21" i="84"/>
  <c r="G22" i="84"/>
  <c r="G23" i="84"/>
  <c r="G24" i="84"/>
  <c r="G25" i="84"/>
  <c r="G26" i="84"/>
  <c r="G27" i="84"/>
  <c r="G28" i="84"/>
  <c r="G29" i="84"/>
  <c r="G30" i="84"/>
  <c r="G31" i="84"/>
  <c r="G32" i="84"/>
  <c r="G33" i="84"/>
  <c r="G34" i="84"/>
  <c r="G35" i="84"/>
  <c r="G36" i="84"/>
  <c r="G37" i="84"/>
  <c r="G38" i="84"/>
  <c r="G39" i="84"/>
  <c r="G40" i="84"/>
  <c r="G41" i="84"/>
  <c r="G42" i="84"/>
  <c r="G43" i="84"/>
  <c r="G44" i="84"/>
  <c r="G45" i="84"/>
  <c r="G46" i="84"/>
  <c r="G47" i="84"/>
  <c r="G48" i="84"/>
  <c r="G49" i="84"/>
  <c r="G50" i="84"/>
  <c r="G51" i="84"/>
  <c r="G52" i="84"/>
  <c r="G53" i="84"/>
  <c r="G54" i="84"/>
  <c r="G55" i="84"/>
  <c r="G56" i="84"/>
  <c r="G57" i="84"/>
  <c r="G58" i="84"/>
  <c r="G59" i="84"/>
  <c r="G60" i="84"/>
  <c r="G61" i="84"/>
  <c r="G62" i="84"/>
  <c r="G63" i="84"/>
  <c r="G64" i="84"/>
  <c r="G65" i="84"/>
  <c r="G66" i="84"/>
  <c r="G67" i="84"/>
  <c r="G68" i="84"/>
  <c r="G69" i="84"/>
  <c r="G70" i="84"/>
  <c r="G71" i="84"/>
  <c r="G72" i="84"/>
  <c r="G73" i="84"/>
  <c r="G74" i="84"/>
  <c r="G75" i="84"/>
  <c r="G76" i="84"/>
  <c r="G77" i="84"/>
  <c r="G78" i="84"/>
  <c r="G79" i="84"/>
  <c r="G80" i="84"/>
  <c r="G81" i="84"/>
  <c r="G82" i="84"/>
  <c r="G83" i="84"/>
  <c r="G84" i="84"/>
  <c r="G85" i="84"/>
  <c r="G86" i="84"/>
  <c r="G87" i="84"/>
  <c r="G88" i="84"/>
  <c r="G89" i="84"/>
  <c r="G90" i="84"/>
  <c r="G91" i="84"/>
  <c r="G92" i="84"/>
  <c r="G93" i="84"/>
  <c r="G94" i="84"/>
  <c r="G95" i="84"/>
  <c r="G96" i="84"/>
  <c r="G97" i="84"/>
  <c r="G98" i="84"/>
  <c r="G99" i="84"/>
  <c r="G100" i="84"/>
  <c r="G101" i="84"/>
  <c r="G102" i="84"/>
  <c r="G103" i="84"/>
  <c r="G104" i="84"/>
  <c r="G105" i="84"/>
  <c r="G106" i="84"/>
  <c r="G107" i="84"/>
  <c r="G108" i="84"/>
  <c r="G109" i="84"/>
  <c r="G110" i="84"/>
  <c r="D12" i="84"/>
  <c r="E10" i="30" l="1"/>
  <c r="H11" i="84"/>
  <c r="J11" i="84"/>
  <c r="C11" i="84"/>
  <c r="G11" i="84"/>
  <c r="F12" i="84"/>
  <c r="E11" i="84"/>
  <c r="D13" i="84" l="1"/>
  <c r="F13" i="84" s="1"/>
  <c r="D14" i="84"/>
  <c r="F14" i="84" s="1"/>
  <c r="D15" i="84"/>
  <c r="F15" i="84" s="1"/>
  <c r="D16" i="84"/>
  <c r="F16" i="84" s="1"/>
  <c r="D17" i="84"/>
  <c r="F17" i="84" s="1"/>
  <c r="D18" i="84"/>
  <c r="F18" i="84" s="1"/>
  <c r="D19" i="84"/>
  <c r="F19" i="84" s="1"/>
  <c r="D20" i="84"/>
  <c r="F20" i="84" s="1"/>
  <c r="D21" i="84"/>
  <c r="F21" i="84" s="1"/>
  <c r="D22" i="84"/>
  <c r="F22" i="84" s="1"/>
  <c r="D23" i="84"/>
  <c r="F23" i="84" s="1"/>
  <c r="D24" i="84"/>
  <c r="F24" i="84" s="1"/>
  <c r="D25" i="84"/>
  <c r="F25" i="84" s="1"/>
  <c r="D26" i="84"/>
  <c r="F26" i="84" s="1"/>
  <c r="D27" i="84"/>
  <c r="F27" i="84" s="1"/>
  <c r="D28" i="84"/>
  <c r="F28" i="84" s="1"/>
  <c r="D29" i="84"/>
  <c r="F29" i="84" s="1"/>
  <c r="D30" i="84"/>
  <c r="F30" i="84" s="1"/>
  <c r="D31" i="84"/>
  <c r="F31" i="84" s="1"/>
  <c r="D32" i="84"/>
  <c r="F32" i="84" s="1"/>
  <c r="D33" i="84"/>
  <c r="F33" i="84" s="1"/>
  <c r="D34" i="84"/>
  <c r="F34" i="84" s="1"/>
  <c r="D35" i="84"/>
  <c r="F35" i="84" s="1"/>
  <c r="D36" i="84"/>
  <c r="F36" i="84" s="1"/>
  <c r="D37" i="84"/>
  <c r="F37" i="84" s="1"/>
  <c r="D38" i="84"/>
  <c r="F38" i="84" s="1"/>
  <c r="D39" i="84"/>
  <c r="F39" i="84" s="1"/>
  <c r="D40" i="84"/>
  <c r="F40" i="84" s="1"/>
  <c r="D41" i="84"/>
  <c r="F41" i="84" s="1"/>
  <c r="D42" i="84"/>
  <c r="F42" i="84" s="1"/>
  <c r="D43" i="84"/>
  <c r="F43" i="84" s="1"/>
  <c r="D44" i="84"/>
  <c r="F44" i="84" s="1"/>
  <c r="D45" i="84"/>
  <c r="F45" i="84" s="1"/>
  <c r="D46" i="84"/>
  <c r="F46" i="84" s="1"/>
  <c r="D47" i="84"/>
  <c r="F47" i="84" s="1"/>
  <c r="D48" i="84"/>
  <c r="F48" i="84" s="1"/>
  <c r="D49" i="84"/>
  <c r="F49" i="84" s="1"/>
  <c r="D50" i="84"/>
  <c r="F50" i="84" s="1"/>
  <c r="D51" i="84"/>
  <c r="F51" i="84" s="1"/>
  <c r="D52" i="84"/>
  <c r="F52" i="84" s="1"/>
  <c r="D53" i="84"/>
  <c r="F53" i="84" s="1"/>
  <c r="D54" i="84"/>
  <c r="F54" i="84" s="1"/>
  <c r="D55" i="84"/>
  <c r="F55" i="84" s="1"/>
  <c r="D56" i="84"/>
  <c r="F56" i="84" s="1"/>
  <c r="D57" i="84"/>
  <c r="F57" i="84" s="1"/>
  <c r="D58" i="84"/>
  <c r="F58" i="84" s="1"/>
  <c r="D59" i="84"/>
  <c r="F59" i="84" s="1"/>
  <c r="D60" i="84"/>
  <c r="F60" i="84" s="1"/>
  <c r="D61" i="84"/>
  <c r="F61" i="84" s="1"/>
  <c r="D62" i="84"/>
  <c r="F62" i="84" s="1"/>
  <c r="D63" i="84"/>
  <c r="F63" i="84" s="1"/>
  <c r="D64" i="84"/>
  <c r="F64" i="84" s="1"/>
  <c r="D65" i="84"/>
  <c r="F65" i="84" s="1"/>
  <c r="D66" i="84"/>
  <c r="F66" i="84" s="1"/>
  <c r="D67" i="84"/>
  <c r="F67" i="84" s="1"/>
  <c r="D68" i="84"/>
  <c r="F68" i="84" s="1"/>
  <c r="D69" i="84"/>
  <c r="F69" i="84" s="1"/>
  <c r="D70" i="84"/>
  <c r="F70" i="84" s="1"/>
  <c r="D71" i="84"/>
  <c r="F71" i="84" s="1"/>
  <c r="D72" i="84"/>
  <c r="F72" i="84" s="1"/>
  <c r="D73" i="84"/>
  <c r="F73" i="84" s="1"/>
  <c r="D74" i="84"/>
  <c r="F74" i="84" s="1"/>
  <c r="D75" i="84"/>
  <c r="F75" i="84" s="1"/>
  <c r="D76" i="84"/>
  <c r="F76" i="84" s="1"/>
  <c r="D77" i="84"/>
  <c r="F77" i="84" s="1"/>
  <c r="D78" i="84"/>
  <c r="F78" i="84" s="1"/>
  <c r="D79" i="84"/>
  <c r="F79" i="84" s="1"/>
  <c r="D80" i="84"/>
  <c r="F80" i="84" s="1"/>
  <c r="D81" i="84"/>
  <c r="F81" i="84" s="1"/>
  <c r="D82" i="84"/>
  <c r="F82" i="84" s="1"/>
  <c r="D83" i="84"/>
  <c r="F83" i="84" s="1"/>
  <c r="D84" i="84"/>
  <c r="F84" i="84" s="1"/>
  <c r="D85" i="84"/>
  <c r="F85" i="84" s="1"/>
  <c r="D86" i="84"/>
  <c r="F86" i="84" s="1"/>
  <c r="D87" i="84"/>
  <c r="F87" i="84" s="1"/>
  <c r="D88" i="84"/>
  <c r="F88" i="84" s="1"/>
  <c r="D89" i="84"/>
  <c r="F89" i="84" s="1"/>
  <c r="D90" i="84"/>
  <c r="F90" i="84" s="1"/>
  <c r="D91" i="84"/>
  <c r="F91" i="84" s="1"/>
  <c r="D92" i="84"/>
  <c r="F92" i="84" s="1"/>
  <c r="D93" i="84"/>
  <c r="F93" i="84" s="1"/>
  <c r="D94" i="84"/>
  <c r="F94" i="84" s="1"/>
  <c r="D95" i="84"/>
  <c r="F95" i="84" s="1"/>
  <c r="D96" i="84"/>
  <c r="F96" i="84" s="1"/>
  <c r="D97" i="84"/>
  <c r="F97" i="84" s="1"/>
  <c r="D98" i="84"/>
  <c r="F98" i="84" s="1"/>
  <c r="D99" i="84"/>
  <c r="F99" i="84" s="1"/>
  <c r="D100" i="84"/>
  <c r="F100" i="84" s="1"/>
  <c r="D101" i="84"/>
  <c r="F101" i="84" s="1"/>
  <c r="D102" i="84"/>
  <c r="F102" i="84" s="1"/>
  <c r="D103" i="84"/>
  <c r="F103" i="84" s="1"/>
  <c r="D104" i="84"/>
  <c r="F104" i="84" s="1"/>
  <c r="D105" i="84"/>
  <c r="F105" i="84" s="1"/>
  <c r="D106" i="84"/>
  <c r="F106" i="84" s="1"/>
  <c r="D107" i="84"/>
  <c r="F107" i="84" s="1"/>
  <c r="D108" i="84"/>
  <c r="F108" i="84" s="1"/>
  <c r="D109" i="84"/>
  <c r="F109" i="84" s="1"/>
  <c r="D110" i="84"/>
  <c r="F110" i="84" s="1"/>
  <c r="M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15" i="27"/>
  <c r="N16" i="27"/>
  <c r="N17" i="27"/>
  <c r="N18" i="27"/>
  <c r="N19" i="27"/>
  <c r="N20" i="27"/>
  <c r="N21" i="27"/>
  <c r="N22" i="27"/>
  <c r="N23" i="27"/>
  <c r="N24" i="27"/>
  <c r="N25" i="27"/>
  <c r="N26" i="27"/>
  <c r="N27" i="27"/>
  <c r="N28" i="27"/>
  <c r="N29" i="27"/>
  <c r="N30" i="27"/>
  <c r="N31" i="27"/>
  <c r="N32" i="27"/>
  <c r="N33" i="27"/>
  <c r="N34" i="27"/>
  <c r="N35" i="27"/>
  <c r="N36" i="27"/>
  <c r="N37" i="27"/>
  <c r="N38" i="27"/>
  <c r="N39" i="27"/>
  <c r="N40" i="27"/>
  <c r="N41" i="27"/>
  <c r="N42" i="27"/>
  <c r="N43" i="27"/>
  <c r="N44" i="27"/>
  <c r="N45" i="27"/>
  <c r="N46" i="27"/>
  <c r="N47" i="27"/>
  <c r="N48" i="27"/>
  <c r="N49" i="27"/>
  <c r="N15" i="27"/>
  <c r="K16" i="27"/>
  <c r="K17" i="27"/>
  <c r="K18" i="27"/>
  <c r="L18" i="27" s="1"/>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15" i="27"/>
  <c r="H48" i="27"/>
  <c r="H49"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15" i="27"/>
  <c r="G16" i="27"/>
  <c r="G17" i="27"/>
  <c r="G18" i="27"/>
  <c r="G19" i="27"/>
  <c r="G20" i="27"/>
  <c r="G21" i="27"/>
  <c r="G22" i="27"/>
  <c r="G23" i="27"/>
  <c r="G24" i="27"/>
  <c r="G25" i="27"/>
  <c r="G26" i="27"/>
  <c r="G27" i="27"/>
  <c r="G28" i="27"/>
  <c r="G29" i="27"/>
  <c r="G30" i="27"/>
  <c r="G31" i="27"/>
  <c r="G32" i="27"/>
  <c r="G33" i="27"/>
  <c r="G34" i="27"/>
  <c r="G35" i="27"/>
  <c r="G36" i="27"/>
  <c r="G37" i="27"/>
  <c r="G38" i="27"/>
  <c r="G39" i="27"/>
  <c r="G40" i="27"/>
  <c r="G41" i="27"/>
  <c r="G42" i="27"/>
  <c r="G43" i="27"/>
  <c r="G44" i="27"/>
  <c r="G45" i="27"/>
  <c r="G46" i="27"/>
  <c r="G47" i="27"/>
  <c r="G48" i="27"/>
  <c r="G49" i="27"/>
  <c r="G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15"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E46" i="81"/>
  <c r="E13" i="81"/>
  <c r="E14" i="81"/>
  <c r="E15" i="81"/>
  <c r="E16" i="81"/>
  <c r="E17" i="81"/>
  <c r="E18" i="81"/>
  <c r="E19" i="81"/>
  <c r="E20" i="81"/>
  <c r="E21" i="81"/>
  <c r="E22" i="81"/>
  <c r="E23" i="81"/>
  <c r="E24" i="81"/>
  <c r="E25" i="81"/>
  <c r="E26" i="81"/>
  <c r="E27" i="81"/>
  <c r="E28" i="81"/>
  <c r="E29" i="81"/>
  <c r="E30" i="81"/>
  <c r="E31" i="81"/>
  <c r="E32" i="81"/>
  <c r="E33" i="81"/>
  <c r="E34" i="81"/>
  <c r="E35" i="81"/>
  <c r="E36" i="81"/>
  <c r="E37" i="81"/>
  <c r="E38" i="81"/>
  <c r="E39" i="81"/>
  <c r="E40" i="81"/>
  <c r="E41" i="81"/>
  <c r="E42" i="81"/>
  <c r="E43" i="81"/>
  <c r="E44" i="81"/>
  <c r="E45" i="81"/>
  <c r="E12" i="81"/>
  <c r="C9" i="80"/>
  <c r="C42" i="80"/>
  <c r="C41" i="80"/>
  <c r="C40" i="80"/>
  <c r="C39" i="80"/>
  <c r="C38" i="80"/>
  <c r="C37" i="80"/>
  <c r="C36" i="80"/>
  <c r="C35" i="80"/>
  <c r="C34" i="80"/>
  <c r="C33" i="80"/>
  <c r="C32" i="80"/>
  <c r="C31" i="80"/>
  <c r="C30" i="80"/>
  <c r="C29" i="80"/>
  <c r="C27" i="80"/>
  <c r="C13" i="80"/>
  <c r="C12" i="80"/>
  <c r="E28" i="6"/>
  <c r="C23" i="6"/>
  <c r="C24" i="6"/>
  <c r="C25" i="6"/>
  <c r="C22" i="6"/>
  <c r="C14" i="6"/>
  <c r="C15" i="6"/>
  <c r="C16" i="6"/>
  <c r="C17" i="6"/>
  <c r="C18" i="6"/>
  <c r="C19" i="6"/>
  <c r="C20" i="6"/>
  <c r="C21" i="6"/>
  <c r="C13" i="6"/>
  <c r="D31" i="6"/>
  <c r="C31" i="6" s="1"/>
  <c r="C10" i="80" l="1"/>
  <c r="E11" i="81"/>
  <c r="E11" i="6"/>
  <c r="D11" i="84"/>
  <c r="F11" i="84"/>
  <c r="D30" i="6"/>
  <c r="C30" i="6" s="1"/>
  <c r="D29" i="6"/>
  <c r="C29" i="6" s="1"/>
  <c r="D28" i="6"/>
  <c r="C28" i="6" s="1"/>
  <c r="D27" i="6"/>
  <c r="C27" i="6" s="1"/>
  <c r="D26" i="6"/>
  <c r="E12" i="6"/>
  <c r="D12" i="6"/>
  <c r="D45" i="1"/>
  <c r="C45" i="1"/>
  <c r="D25" i="1"/>
  <c r="D47" i="1"/>
  <c r="C47" i="1"/>
  <c r="D44" i="1"/>
  <c r="C44" i="1"/>
  <c r="D43" i="1"/>
  <c r="C43" i="1"/>
  <c r="D42" i="1"/>
  <c r="C42" i="1"/>
  <c r="D41" i="1"/>
  <c r="C41" i="1"/>
  <c r="D40" i="1"/>
  <c r="C40" i="1"/>
  <c r="D39" i="1"/>
  <c r="C39" i="1"/>
  <c r="D38" i="1"/>
  <c r="C38" i="1"/>
  <c r="D37" i="1"/>
  <c r="C37" i="1"/>
  <c r="D36" i="1"/>
  <c r="C36" i="1"/>
  <c r="D35" i="1"/>
  <c r="C35" i="1"/>
  <c r="D32" i="1"/>
  <c r="D31" i="1"/>
  <c r="D30" i="1" s="1"/>
  <c r="C32" i="1"/>
  <c r="C31" i="1"/>
  <c r="D29" i="1"/>
  <c r="C29" i="1"/>
  <c r="D28" i="1"/>
  <c r="C28" i="1"/>
  <c r="D27" i="1"/>
  <c r="D26" i="1" s="1"/>
  <c r="C27" i="1"/>
  <c r="C25" i="1"/>
  <c r="D24" i="1"/>
  <c r="D22" i="1" s="1"/>
  <c r="D23" i="1"/>
  <c r="C24" i="1"/>
  <c r="C23" i="1"/>
  <c r="D21" i="1"/>
  <c r="D20" i="1"/>
  <c r="D19" i="1"/>
  <c r="C20" i="1"/>
  <c r="C21" i="1"/>
  <c r="C19" i="1"/>
  <c r="D17" i="1"/>
  <c r="D16" i="1"/>
  <c r="C17" i="1"/>
  <c r="C16" i="1"/>
  <c r="D14" i="1"/>
  <c r="D13" i="1"/>
  <c r="D12" i="1" s="1"/>
  <c r="C14" i="1"/>
  <c r="C13" i="1"/>
  <c r="C40" i="17"/>
  <c r="C38" i="17"/>
  <c r="C37" i="17"/>
  <c r="C33" i="17"/>
  <c r="C32" i="17"/>
  <c r="C31" i="17"/>
  <c r="C29" i="17"/>
  <c r="C24" i="17"/>
  <c r="C23" i="17"/>
  <c r="C22" i="17"/>
  <c r="C20" i="17"/>
  <c r="C19" i="17"/>
  <c r="C18" i="17"/>
  <c r="C16" i="17"/>
  <c r="C14" i="17"/>
  <c r="C15" i="17"/>
  <c r="C13" i="17"/>
  <c r="C11" i="17"/>
  <c r="C37" i="59"/>
  <c r="C36" i="59"/>
  <c r="C34" i="59"/>
  <c r="C33" i="59"/>
  <c r="C31" i="59"/>
  <c r="C29" i="59"/>
  <c r="C28" i="59"/>
  <c r="C26" i="59"/>
  <c r="C25" i="59"/>
  <c r="C24" i="59"/>
  <c r="C23" i="59"/>
  <c r="C19" i="59" s="1"/>
  <c r="C22" i="59"/>
  <c r="C21" i="59"/>
  <c r="C20" i="59"/>
  <c r="C17" i="59"/>
  <c r="C14" i="59"/>
  <c r="C13" i="59"/>
  <c r="C11" i="59"/>
  <c r="C10" i="59"/>
  <c r="C12" i="1" l="1"/>
  <c r="C26" i="6"/>
  <c r="C11" i="6" s="1"/>
  <c r="F11" i="6" s="1"/>
  <c r="D11" i="6"/>
  <c r="C26" i="1"/>
  <c r="C30" i="1"/>
  <c r="C18" i="1"/>
  <c r="C22" i="1"/>
  <c r="D18" i="1"/>
  <c r="D15" i="1"/>
  <c r="C15" i="1"/>
  <c r="C11" i="1" s="1"/>
  <c r="F11" i="81"/>
  <c r="G11" i="81"/>
  <c r="H11" i="81"/>
  <c r="I11" i="81"/>
  <c r="M11" i="81"/>
  <c r="M10" i="81" s="1"/>
  <c r="C16" i="81"/>
  <c r="C17" i="81"/>
  <c r="C18" i="81"/>
  <c r="C21" i="81"/>
  <c r="C22" i="81"/>
  <c r="C23" i="81"/>
  <c r="J24" i="81"/>
  <c r="C25" i="81"/>
  <c r="C27" i="81"/>
  <c r="C28" i="81"/>
  <c r="C31" i="81"/>
  <c r="C32" i="81"/>
  <c r="C34" i="81"/>
  <c r="C35" i="81"/>
  <c r="C36" i="81"/>
  <c r="C37" i="81"/>
  <c r="C38" i="81"/>
  <c r="C39" i="81"/>
  <c r="C40" i="81"/>
  <c r="C41" i="81"/>
  <c r="C42" i="81"/>
  <c r="C43" i="81"/>
  <c r="C44" i="81"/>
  <c r="C45" i="81"/>
  <c r="C46" i="81"/>
  <c r="E47" i="81"/>
  <c r="C47" i="81" s="1"/>
  <c r="E48" i="81"/>
  <c r="C48" i="81" s="1"/>
  <c r="E49" i="81"/>
  <c r="C49" i="81" s="1"/>
  <c r="E50" i="81"/>
  <c r="C50" i="81" s="1"/>
  <c r="E51" i="81"/>
  <c r="C51" i="81" s="1"/>
  <c r="E52" i="81"/>
  <c r="C52" i="81" s="1"/>
  <c r="E53" i="81"/>
  <c r="C53" i="81" s="1"/>
  <c r="E54" i="81"/>
  <c r="C54" i="81" s="1"/>
  <c r="E55" i="81"/>
  <c r="C55" i="81" s="1"/>
  <c r="E56" i="81"/>
  <c r="C56" i="81" s="1"/>
  <c r="E57" i="81"/>
  <c r="C57" i="81" s="1"/>
  <c r="E58" i="81"/>
  <c r="C58" i="81" s="1"/>
  <c r="E59" i="81"/>
  <c r="C59" i="81" s="1"/>
  <c r="E60" i="81"/>
  <c r="C60" i="81" s="1"/>
  <c r="E61" i="81"/>
  <c r="C61" i="81" s="1"/>
  <c r="E62" i="81"/>
  <c r="E63" i="81"/>
  <c r="C63" i="81" s="1"/>
  <c r="E65" i="81"/>
  <c r="C65" i="81" s="1"/>
  <c r="F90" i="81"/>
  <c r="C90" i="81" s="1"/>
  <c r="G91" i="81"/>
  <c r="C91" i="81" s="1"/>
  <c r="H92" i="81"/>
  <c r="C92" i="81" s="1"/>
  <c r="I93" i="81"/>
  <c r="C93" i="81" s="1"/>
  <c r="E94" i="81"/>
  <c r="D11" i="1" l="1"/>
  <c r="H10" i="81"/>
  <c r="G10" i="81"/>
  <c r="C24" i="81"/>
  <c r="F10" i="81"/>
  <c r="E10" i="81"/>
  <c r="C12" i="81"/>
  <c r="I10" i="81"/>
  <c r="C19" i="81" l="1"/>
  <c r="C14" i="81"/>
  <c r="C30" i="81"/>
  <c r="C26" i="81"/>
  <c r="C20" i="81"/>
  <c r="C15" i="81"/>
  <c r="C29" i="81"/>
  <c r="C13" i="81"/>
  <c r="D16" i="82"/>
  <c r="K16" i="82"/>
  <c r="D15" i="82"/>
  <c r="D14" i="82"/>
  <c r="C12" i="82"/>
  <c r="K15" i="82"/>
  <c r="C62" i="81" l="1"/>
  <c r="C33" i="81"/>
  <c r="C64" i="81"/>
  <c r="D11" i="81"/>
  <c r="C13" i="82"/>
  <c r="D10" i="81" l="1"/>
  <c r="L32" i="27" l="1"/>
  <c r="C49" i="27" l="1"/>
  <c r="C48" i="27"/>
  <c r="C37" i="27"/>
  <c r="L14" i="27"/>
  <c r="C23" i="27"/>
  <c r="C22" i="27"/>
  <c r="C20" i="27"/>
  <c r="G14" i="27"/>
  <c r="C17" i="27"/>
  <c r="K14" i="27"/>
  <c r="C16" i="27"/>
  <c r="H14" i="27"/>
  <c r="N14" i="27"/>
  <c r="M14" i="27"/>
  <c r="F14" i="27"/>
  <c r="C8" i="80"/>
  <c r="E10" i="6"/>
  <c r="C12" i="6"/>
  <c r="C32" i="6"/>
  <c r="D33" i="1"/>
  <c r="D34" i="1"/>
  <c r="D46" i="1"/>
  <c r="D10" i="1" s="1"/>
  <c r="D48" i="1"/>
  <c r="D49" i="1"/>
  <c r="D50" i="1"/>
  <c r="D51" i="1"/>
  <c r="D52" i="1"/>
  <c r="D53" i="1"/>
  <c r="D54" i="1"/>
  <c r="C33" i="1"/>
  <c r="C34" i="1"/>
  <c r="C46" i="1"/>
  <c r="C10" i="1" s="1"/>
  <c r="C50" i="1"/>
  <c r="C51" i="1"/>
  <c r="C52" i="1"/>
  <c r="C53" i="1"/>
  <c r="C54" i="1"/>
  <c r="C34" i="27" l="1"/>
  <c r="C21" i="27"/>
  <c r="C25" i="27"/>
  <c r="C31" i="27"/>
  <c r="C18" i="27"/>
  <c r="C33" i="27"/>
  <c r="C39" i="27"/>
  <c r="C24" i="27"/>
  <c r="C30" i="27"/>
  <c r="C42" i="27"/>
  <c r="C36" i="27"/>
  <c r="C19" i="27"/>
  <c r="C40" i="27"/>
  <c r="C46" i="27"/>
  <c r="C29" i="27"/>
  <c r="C41" i="27"/>
  <c r="J14" i="27"/>
  <c r="C26" i="27"/>
  <c r="C32" i="27"/>
  <c r="C43" i="27"/>
  <c r="C27" i="27"/>
  <c r="C38" i="27"/>
  <c r="C44" i="27"/>
  <c r="C28" i="27"/>
  <c r="C45" i="27"/>
  <c r="C35" i="27"/>
  <c r="C47" i="27"/>
  <c r="I14" i="27"/>
  <c r="D14" i="27"/>
  <c r="E14" i="27"/>
  <c r="C10" i="6"/>
  <c r="L225" i="87" l="1"/>
  <c r="G225" i="87"/>
  <c r="L224" i="87"/>
  <c r="G224" i="87"/>
  <c r="L223" i="87"/>
  <c r="G223" i="87"/>
  <c r="L222" i="87"/>
  <c r="G222" i="87"/>
  <c r="L221" i="87"/>
  <c r="G221" i="87"/>
  <c r="L220" i="87"/>
  <c r="G220" i="87"/>
  <c r="L219" i="87"/>
  <c r="G219" i="87"/>
  <c r="Q217" i="87"/>
  <c r="Q216" i="87"/>
  <c r="Q215" i="87"/>
  <c r="Q214" i="87"/>
  <c r="Q213" i="87"/>
  <c r="Y212" i="87"/>
  <c r="Z212" i="87" s="1"/>
  <c r="Q212" i="87"/>
  <c r="Y211" i="87"/>
  <c r="Z211" i="87" s="1"/>
  <c r="Q211" i="87"/>
  <c r="Q210" i="87"/>
  <c r="V209" i="87"/>
  <c r="U209" i="87"/>
  <c r="T209" i="87"/>
  <c r="S209" i="87"/>
  <c r="R209" i="87"/>
  <c r="P209" i="87"/>
  <c r="O209" i="87"/>
  <c r="N209" i="87"/>
  <c r="M209" i="87"/>
  <c r="K209" i="87"/>
  <c r="J209" i="87"/>
  <c r="I209" i="87"/>
  <c r="H209" i="87"/>
  <c r="Q208" i="87"/>
  <c r="L208" i="87"/>
  <c r="G208" i="87"/>
  <c r="Q207" i="87"/>
  <c r="L207" i="87"/>
  <c r="G207" i="87"/>
  <c r="Q206" i="87"/>
  <c r="L206" i="87"/>
  <c r="G206" i="87"/>
  <c r="Q205" i="87"/>
  <c r="L205" i="87"/>
  <c r="G205" i="87"/>
  <c r="W203" i="87"/>
  <c r="V203" i="87"/>
  <c r="U203" i="87"/>
  <c r="U202" i="87" s="1"/>
  <c r="T203" i="87"/>
  <c r="T202" i="87" s="1"/>
  <c r="S203" i="87"/>
  <c r="S202" i="87" s="1"/>
  <c r="R203" i="87"/>
  <c r="R202" i="87" s="1"/>
  <c r="P203" i="87"/>
  <c r="P202" i="87" s="1"/>
  <c r="O203" i="87"/>
  <c r="N203" i="87"/>
  <c r="N202" i="87" s="1"/>
  <c r="M203" i="87"/>
  <c r="M202" i="87" s="1"/>
  <c r="K203" i="87"/>
  <c r="K202" i="87" s="1"/>
  <c r="J203" i="87"/>
  <c r="I203" i="87"/>
  <c r="I202" i="87" s="1"/>
  <c r="H203" i="87"/>
  <c r="H202" i="87" s="1"/>
  <c r="W202" i="87"/>
  <c r="V202" i="87"/>
  <c r="O202" i="87"/>
  <c r="J202" i="87"/>
  <c r="Y201" i="87"/>
  <c r="Z201" i="87" s="1"/>
  <c r="W200" i="87"/>
  <c r="W199" i="87" s="1"/>
  <c r="V200" i="87"/>
  <c r="V199" i="87" s="1"/>
  <c r="U200" i="87"/>
  <c r="U199" i="87" s="1"/>
  <c r="T200" i="87"/>
  <c r="T199" i="87" s="1"/>
  <c r="S200" i="87"/>
  <c r="S199" i="87" s="1"/>
  <c r="Q200" i="87"/>
  <c r="Q199" i="87" s="1"/>
  <c r="P200" i="87"/>
  <c r="P199" i="87" s="1"/>
  <c r="O200" i="87"/>
  <c r="O199" i="87" s="1"/>
  <c r="N200" i="87"/>
  <c r="Y200" i="87" s="1"/>
  <c r="M200" i="87"/>
  <c r="M199" i="87" s="1"/>
  <c r="L200" i="87"/>
  <c r="L199" i="87" s="1"/>
  <c r="K200" i="87"/>
  <c r="K199" i="87" s="1"/>
  <c r="J200" i="87"/>
  <c r="J199" i="87" s="1"/>
  <c r="I200" i="87"/>
  <c r="I199" i="87" s="1"/>
  <c r="H200" i="87"/>
  <c r="H199" i="87" s="1"/>
  <c r="G200" i="87"/>
  <c r="B200" i="87"/>
  <c r="R199" i="87"/>
  <c r="G199" i="87"/>
  <c r="Z198" i="87"/>
  <c r="Y198" i="87"/>
  <c r="X198" i="87"/>
  <c r="Q198" i="87"/>
  <c r="Q197" i="87" s="1"/>
  <c r="W197" i="87"/>
  <c r="V197" i="87"/>
  <c r="U197" i="87"/>
  <c r="T197" i="87"/>
  <c r="S197" i="87"/>
  <c r="R197" i="87"/>
  <c r="P197" i="87"/>
  <c r="O197" i="87"/>
  <c r="N197" i="87"/>
  <c r="L197" i="87"/>
  <c r="K197" i="87"/>
  <c r="J197" i="87"/>
  <c r="I197" i="87"/>
  <c r="H197" i="87"/>
  <c r="G197" i="87"/>
  <c r="Q196" i="87"/>
  <c r="Q195" i="87" s="1"/>
  <c r="W195" i="87"/>
  <c r="V195" i="87"/>
  <c r="U195" i="87"/>
  <c r="T195" i="87"/>
  <c r="S195" i="87"/>
  <c r="R195" i="87"/>
  <c r="P195" i="87"/>
  <c r="O195" i="87"/>
  <c r="N195" i="87"/>
  <c r="M195" i="87"/>
  <c r="L195" i="87"/>
  <c r="K195" i="87"/>
  <c r="J195" i="87"/>
  <c r="I195" i="87"/>
  <c r="H195" i="87"/>
  <c r="G195" i="87"/>
  <c r="Q194" i="87"/>
  <c r="Q193" i="87" s="1"/>
  <c r="V193" i="87"/>
  <c r="U193" i="87"/>
  <c r="T193" i="87"/>
  <c r="S193" i="87"/>
  <c r="R193" i="87"/>
  <c r="P193" i="87"/>
  <c r="O193" i="87"/>
  <c r="N193" i="87"/>
  <c r="M193" i="87"/>
  <c r="L193" i="87"/>
  <c r="K193" i="87"/>
  <c r="J193" i="87"/>
  <c r="I193" i="87"/>
  <c r="H193" i="87"/>
  <c r="G193" i="87"/>
  <c r="Q192" i="87"/>
  <c r="W191" i="87"/>
  <c r="V191" i="87"/>
  <c r="U191" i="87"/>
  <c r="T191" i="87"/>
  <c r="S191" i="87"/>
  <c r="R191" i="87"/>
  <c r="Q191" i="87"/>
  <c r="P191" i="87"/>
  <c r="O191" i="87"/>
  <c r="N191" i="87"/>
  <c r="M191" i="87"/>
  <c r="L191" i="87"/>
  <c r="K191" i="87"/>
  <c r="J191" i="87"/>
  <c r="I191" i="87"/>
  <c r="H191" i="87"/>
  <c r="G191" i="87"/>
  <c r="Q190" i="87"/>
  <c r="Q189" i="87" s="1"/>
  <c r="W189" i="87"/>
  <c r="V189" i="87"/>
  <c r="U189" i="87"/>
  <c r="T189" i="87"/>
  <c r="S189" i="87"/>
  <c r="R189" i="87"/>
  <c r="P189" i="87"/>
  <c r="O189" i="87"/>
  <c r="N189" i="87"/>
  <c r="M189" i="87"/>
  <c r="L189" i="87"/>
  <c r="K189" i="87"/>
  <c r="J189" i="87"/>
  <c r="I189" i="87"/>
  <c r="H189" i="87"/>
  <c r="G189" i="87"/>
  <c r="Q188" i="87"/>
  <c r="Q187" i="87" s="1"/>
  <c r="L188" i="87"/>
  <c r="L187" i="87" s="1"/>
  <c r="G188" i="87"/>
  <c r="G187" i="87" s="1"/>
  <c r="W187" i="87"/>
  <c r="V187" i="87"/>
  <c r="U187" i="87"/>
  <c r="T187" i="87"/>
  <c r="S187" i="87"/>
  <c r="R187" i="87"/>
  <c r="P187" i="87"/>
  <c r="O187" i="87"/>
  <c r="N187" i="87"/>
  <c r="M187" i="87"/>
  <c r="K187" i="87"/>
  <c r="J187" i="87"/>
  <c r="I187" i="87"/>
  <c r="H187" i="87"/>
  <c r="Q186" i="87"/>
  <c r="Q185" i="87" s="1"/>
  <c r="L186" i="87"/>
  <c r="L185" i="87" s="1"/>
  <c r="G186" i="87"/>
  <c r="W185" i="87"/>
  <c r="V185" i="87"/>
  <c r="U185" i="87"/>
  <c r="T185" i="87"/>
  <c r="S185" i="87"/>
  <c r="R185" i="87"/>
  <c r="P185" i="87"/>
  <c r="O185" i="87"/>
  <c r="N185" i="87"/>
  <c r="M185" i="87"/>
  <c r="K185" i="87"/>
  <c r="J185" i="87"/>
  <c r="I185" i="87"/>
  <c r="H185" i="87"/>
  <c r="G185" i="87"/>
  <c r="Q184" i="87"/>
  <c r="Q183" i="87" s="1"/>
  <c r="L184" i="87"/>
  <c r="L183" i="87" s="1"/>
  <c r="G184" i="87"/>
  <c r="G183" i="87" s="1"/>
  <c r="W183" i="87"/>
  <c r="V183" i="87"/>
  <c r="U183" i="87"/>
  <c r="T183" i="87"/>
  <c r="S183" i="87"/>
  <c r="R183" i="87"/>
  <c r="P183" i="87"/>
  <c r="O183" i="87"/>
  <c r="N183" i="87"/>
  <c r="M183" i="87"/>
  <c r="K183" i="87"/>
  <c r="J183" i="87"/>
  <c r="I183" i="87"/>
  <c r="H183" i="87"/>
  <c r="Q182" i="87"/>
  <c r="L182" i="87"/>
  <c r="G182" i="87"/>
  <c r="Q181" i="87"/>
  <c r="Q180" i="87" s="1"/>
  <c r="L181" i="87"/>
  <c r="L180" i="87" s="1"/>
  <c r="G181" i="87"/>
  <c r="G180" i="87" s="1"/>
  <c r="W180" i="87"/>
  <c r="V180" i="87"/>
  <c r="U180" i="87"/>
  <c r="T180" i="87"/>
  <c r="S180" i="87"/>
  <c r="R180" i="87"/>
  <c r="P180" i="87"/>
  <c r="O180" i="87"/>
  <c r="N180" i="87"/>
  <c r="M180" i="87"/>
  <c r="K180" i="87"/>
  <c r="J180" i="87"/>
  <c r="I180" i="87"/>
  <c r="H180" i="87"/>
  <c r="Q179" i="87"/>
  <c r="L179" i="87"/>
  <c r="G179" i="87"/>
  <c r="Q178" i="87"/>
  <c r="L178" i="87"/>
  <c r="G178" i="87"/>
  <c r="G177" i="87" s="1"/>
  <c r="W177" i="87"/>
  <c r="V177" i="87"/>
  <c r="U177" i="87"/>
  <c r="T177" i="87"/>
  <c r="S177" i="87"/>
  <c r="R177" i="87"/>
  <c r="P177" i="87"/>
  <c r="O177" i="87"/>
  <c r="N177" i="87"/>
  <c r="M177" i="87"/>
  <c r="K177" i="87"/>
  <c r="J177" i="87"/>
  <c r="I177" i="87"/>
  <c r="H177" i="87"/>
  <c r="Q176" i="87"/>
  <c r="L176" i="87"/>
  <c r="L174" i="87" s="1"/>
  <c r="G176" i="87"/>
  <c r="Y175" i="87"/>
  <c r="Z175" i="87" s="1"/>
  <c r="Q175" i="87"/>
  <c r="L175" i="87"/>
  <c r="G175" i="87"/>
  <c r="Y174" i="87"/>
  <c r="Z174" i="87" s="1"/>
  <c r="W174" i="87"/>
  <c r="V174" i="87"/>
  <c r="U174" i="87"/>
  <c r="T174" i="87"/>
  <c r="S174" i="87"/>
  <c r="R174" i="87"/>
  <c r="P174" i="87"/>
  <c r="O174" i="87"/>
  <c r="N174" i="87"/>
  <c r="M174" i="87"/>
  <c r="K174" i="87"/>
  <c r="J174" i="87"/>
  <c r="I174" i="87"/>
  <c r="H174" i="87"/>
  <c r="Q173" i="87"/>
  <c r="Q172" i="87" s="1"/>
  <c r="W172" i="87"/>
  <c r="V172" i="87"/>
  <c r="U172" i="87"/>
  <c r="T172" i="87"/>
  <c r="S172" i="87"/>
  <c r="R172" i="87"/>
  <c r="P172" i="87"/>
  <c r="O172" i="87"/>
  <c r="N172" i="87"/>
  <c r="M172" i="87"/>
  <c r="L172" i="87"/>
  <c r="K172" i="87"/>
  <c r="J172" i="87"/>
  <c r="I172" i="87"/>
  <c r="H172" i="87"/>
  <c r="G172" i="87"/>
  <c r="Q171" i="87"/>
  <c r="Q170" i="87"/>
  <c r="W169" i="87"/>
  <c r="V169" i="87"/>
  <c r="U169" i="87"/>
  <c r="T169" i="87"/>
  <c r="S169" i="87"/>
  <c r="R169" i="87"/>
  <c r="P169" i="87"/>
  <c r="O169" i="87"/>
  <c r="Y169" i="87" s="1"/>
  <c r="N169" i="87"/>
  <c r="M169" i="87"/>
  <c r="L169" i="87"/>
  <c r="K169" i="87"/>
  <c r="J169" i="87"/>
  <c r="I169" i="87"/>
  <c r="H169" i="87"/>
  <c r="G169" i="87"/>
  <c r="Y168" i="87"/>
  <c r="Z168" i="87" s="1"/>
  <c r="X168" i="87"/>
  <c r="Q168" i="87"/>
  <c r="Q167" i="87" s="1"/>
  <c r="W167" i="87"/>
  <c r="V167" i="87"/>
  <c r="U167" i="87"/>
  <c r="T167" i="87"/>
  <c r="S167" i="87"/>
  <c r="R167" i="87"/>
  <c r="P167" i="87"/>
  <c r="O167" i="87"/>
  <c r="N167" i="87"/>
  <c r="L167" i="87"/>
  <c r="K167" i="87"/>
  <c r="J167" i="87"/>
  <c r="I167" i="87"/>
  <c r="H167" i="87"/>
  <c r="G167" i="87"/>
  <c r="Q165" i="87"/>
  <c r="Q164" i="87"/>
  <c r="Q163" i="87"/>
  <c r="Q162" i="87"/>
  <c r="Q161" i="87"/>
  <c r="Q160" i="87"/>
  <c r="Q159" i="87"/>
  <c r="Y158" i="87"/>
  <c r="Z158" i="87" s="1"/>
  <c r="Q158" i="87"/>
  <c r="Q157" i="87"/>
  <c r="L157" i="87"/>
  <c r="G157" i="87"/>
  <c r="Q156" i="87"/>
  <c r="L156" i="87"/>
  <c r="G156" i="87"/>
  <c r="Q155" i="87"/>
  <c r="L155" i="87"/>
  <c r="G155" i="87"/>
  <c r="Q154" i="87"/>
  <c r="L154" i="87"/>
  <c r="G154" i="87"/>
  <c r="Q153" i="87"/>
  <c r="L153" i="87"/>
  <c r="G153" i="87"/>
  <c r="Q152" i="87"/>
  <c r="L152" i="87"/>
  <c r="G152" i="87"/>
  <c r="Q151" i="87"/>
  <c r="L151" i="87"/>
  <c r="G151" i="87"/>
  <c r="Q150" i="87"/>
  <c r="L150" i="87"/>
  <c r="G150" i="87"/>
  <c r="W149" i="87"/>
  <c r="V149" i="87"/>
  <c r="U149" i="87"/>
  <c r="T149" i="87"/>
  <c r="S149" i="87"/>
  <c r="R149" i="87"/>
  <c r="P149" i="87"/>
  <c r="O149" i="87"/>
  <c r="N149" i="87"/>
  <c r="M149" i="87"/>
  <c r="K149" i="87"/>
  <c r="J149" i="87"/>
  <c r="I149" i="87"/>
  <c r="H149" i="87"/>
  <c r="U148" i="87"/>
  <c r="Q148" i="87" s="1"/>
  <c r="R148" i="87"/>
  <c r="N148" i="87"/>
  <c r="L148" i="87" s="1"/>
  <c r="K148" i="87"/>
  <c r="J148" i="87"/>
  <c r="I148" i="87"/>
  <c r="U147" i="87"/>
  <c r="Q147" i="87" s="1"/>
  <c r="N147" i="87"/>
  <c r="L147" i="87" s="1"/>
  <c r="K147" i="87"/>
  <c r="K146" i="87" s="1"/>
  <c r="K145" i="87" s="1"/>
  <c r="J147" i="87"/>
  <c r="J146" i="87" s="1"/>
  <c r="J145" i="87" s="1"/>
  <c r="I147" i="87"/>
  <c r="W146" i="87"/>
  <c r="W145" i="87" s="1"/>
  <c r="V146" i="87"/>
  <c r="V145" i="87" s="1"/>
  <c r="T146" i="87"/>
  <c r="T145" i="87" s="1"/>
  <c r="S146" i="87"/>
  <c r="S145" i="87" s="1"/>
  <c r="R146" i="87"/>
  <c r="R145" i="87" s="1"/>
  <c r="P146" i="87"/>
  <c r="P145" i="87" s="1"/>
  <c r="O146" i="87"/>
  <c r="O145" i="87" s="1"/>
  <c r="M146" i="87"/>
  <c r="M145" i="87" s="1"/>
  <c r="H146" i="87"/>
  <c r="H145" i="87"/>
  <c r="Q144" i="87"/>
  <c r="L144" i="87"/>
  <c r="G144" i="87"/>
  <c r="G142" i="87" s="1"/>
  <c r="Q143" i="87"/>
  <c r="L143" i="87"/>
  <c r="G143" i="87"/>
  <c r="W142" i="87"/>
  <c r="V142" i="87"/>
  <c r="U142" i="87"/>
  <c r="T142" i="87"/>
  <c r="S142" i="87"/>
  <c r="R142" i="87"/>
  <c r="P142" i="87"/>
  <c r="O142" i="87"/>
  <c r="N142" i="87"/>
  <c r="M142" i="87"/>
  <c r="K142" i="87"/>
  <c r="J142" i="87"/>
  <c r="I142" i="87"/>
  <c r="H142" i="87"/>
  <c r="Q141" i="87"/>
  <c r="Q140" i="87" s="1"/>
  <c r="L141" i="87"/>
  <c r="L140" i="87" s="1"/>
  <c r="G141" i="87"/>
  <c r="G140" i="87" s="1"/>
  <c r="W140" i="87"/>
  <c r="V140" i="87"/>
  <c r="U140" i="87"/>
  <c r="T140" i="87"/>
  <c r="S140" i="87"/>
  <c r="R140" i="87"/>
  <c r="P140" i="87"/>
  <c r="O140" i="87"/>
  <c r="N140" i="87"/>
  <c r="M140" i="87"/>
  <c r="K140" i="87"/>
  <c r="J140" i="87"/>
  <c r="I140" i="87"/>
  <c r="H140" i="87"/>
  <c r="Q139" i="87"/>
  <c r="L139" i="87"/>
  <c r="L138" i="87" s="1"/>
  <c r="G139" i="87"/>
  <c r="W138" i="87"/>
  <c r="V138" i="87"/>
  <c r="U138" i="87"/>
  <c r="T138" i="87"/>
  <c r="S138" i="87"/>
  <c r="R138" i="87"/>
  <c r="Q138" i="87"/>
  <c r="P138" i="87"/>
  <c r="O138" i="87"/>
  <c r="N138" i="87"/>
  <c r="M138" i="87"/>
  <c r="K138" i="87"/>
  <c r="J138" i="87"/>
  <c r="I138" i="87"/>
  <c r="H138" i="87"/>
  <c r="G138" i="87"/>
  <c r="Q137" i="87"/>
  <c r="L137" i="87"/>
  <c r="G137" i="87"/>
  <c r="Q136" i="87"/>
  <c r="L136" i="87"/>
  <c r="G136" i="87"/>
  <c r="Q135" i="87"/>
  <c r="L135" i="87"/>
  <c r="G135" i="87"/>
  <c r="W134" i="87"/>
  <c r="V134" i="87"/>
  <c r="U134" i="87"/>
  <c r="T134" i="87"/>
  <c r="S134" i="87"/>
  <c r="R134" i="87"/>
  <c r="P134" i="87"/>
  <c r="O134" i="87"/>
  <c r="N134" i="87"/>
  <c r="M134" i="87"/>
  <c r="K134" i="87"/>
  <c r="J134" i="87"/>
  <c r="I134" i="87"/>
  <c r="H134" i="87"/>
  <c r="Q133" i="87"/>
  <c r="L133" i="87"/>
  <c r="G133" i="87"/>
  <c r="Q132" i="87"/>
  <c r="L132" i="87"/>
  <c r="G132" i="87"/>
  <c r="Q131" i="87"/>
  <c r="L131" i="87"/>
  <c r="G131" i="87"/>
  <c r="W130" i="87"/>
  <c r="V130" i="87"/>
  <c r="U130" i="87"/>
  <c r="T130" i="87"/>
  <c r="S130" i="87"/>
  <c r="R130" i="87"/>
  <c r="P130" i="87"/>
  <c r="O130" i="87"/>
  <c r="N130" i="87"/>
  <c r="M130" i="87"/>
  <c r="K130" i="87"/>
  <c r="J130" i="87"/>
  <c r="I130" i="87"/>
  <c r="H130" i="87"/>
  <c r="Q129" i="87"/>
  <c r="L129" i="87"/>
  <c r="G129" i="87"/>
  <c r="Q128" i="87"/>
  <c r="L128" i="87"/>
  <c r="L126" i="87" s="1"/>
  <c r="G128" i="87"/>
  <c r="Q127" i="87"/>
  <c r="L127" i="87"/>
  <c r="G127" i="87"/>
  <c r="W126" i="87"/>
  <c r="V126" i="87"/>
  <c r="U126" i="87"/>
  <c r="T126" i="87"/>
  <c r="S126" i="87"/>
  <c r="R126" i="87"/>
  <c r="P126" i="87"/>
  <c r="O126" i="87"/>
  <c r="N126" i="87"/>
  <c r="M126" i="87"/>
  <c r="K126" i="87"/>
  <c r="J126" i="87"/>
  <c r="I126" i="87"/>
  <c r="H126" i="87"/>
  <c r="Q125" i="87"/>
  <c r="L125" i="87"/>
  <c r="G125" i="87"/>
  <c r="Q124" i="87"/>
  <c r="L124" i="87"/>
  <c r="G124" i="87"/>
  <c r="Q123" i="87"/>
  <c r="L123" i="87"/>
  <c r="G123" i="87"/>
  <c r="W122" i="87"/>
  <c r="V122" i="87"/>
  <c r="U122" i="87"/>
  <c r="T122" i="87"/>
  <c r="S122" i="87"/>
  <c r="R122" i="87"/>
  <c r="P122" i="87"/>
  <c r="O122" i="87"/>
  <c r="N122" i="87"/>
  <c r="M122" i="87"/>
  <c r="K122" i="87"/>
  <c r="J122" i="87"/>
  <c r="I122" i="87"/>
  <c r="H122" i="87"/>
  <c r="Q121" i="87"/>
  <c r="L121" i="87"/>
  <c r="G121" i="87"/>
  <c r="Q120" i="87"/>
  <c r="Q119" i="87" s="1"/>
  <c r="L120" i="87"/>
  <c r="L119" i="87" s="1"/>
  <c r="G120" i="87"/>
  <c r="G119" i="87" s="1"/>
  <c r="W119" i="87"/>
  <c r="V119" i="87"/>
  <c r="U119" i="87"/>
  <c r="T119" i="87"/>
  <c r="S119" i="87"/>
  <c r="R119" i="87"/>
  <c r="P119" i="87"/>
  <c r="O119" i="87"/>
  <c r="N119" i="87"/>
  <c r="M119" i="87"/>
  <c r="K119" i="87"/>
  <c r="J119" i="87"/>
  <c r="I119" i="87"/>
  <c r="H119" i="87"/>
  <c r="X117" i="87"/>
  <c r="Y116" i="87"/>
  <c r="Z116" i="87" s="1"/>
  <c r="Q116" i="87"/>
  <c r="Y115" i="87"/>
  <c r="Z115" i="87" s="1"/>
  <c r="Q115" i="87"/>
  <c r="Q114" i="87" s="1"/>
  <c r="W114" i="87"/>
  <c r="V114" i="87"/>
  <c r="U114" i="87"/>
  <c r="T114" i="87"/>
  <c r="S114" i="87"/>
  <c r="R114" i="87"/>
  <c r="P114" i="87"/>
  <c r="O114" i="87"/>
  <c r="N114" i="87"/>
  <c r="Y114" i="87" s="1"/>
  <c r="L114" i="87"/>
  <c r="K114" i="87"/>
  <c r="J114" i="87"/>
  <c r="I114" i="87"/>
  <c r="H114" i="87"/>
  <c r="G114" i="87"/>
  <c r="Q113" i="87"/>
  <c r="Q112" i="87" s="1"/>
  <c r="W112" i="87"/>
  <c r="V112" i="87"/>
  <c r="U112" i="87"/>
  <c r="T112" i="87"/>
  <c r="S112" i="87"/>
  <c r="R112" i="87"/>
  <c r="P112" i="87"/>
  <c r="O112" i="87"/>
  <c r="N112" i="87"/>
  <c r="L112" i="87"/>
  <c r="K112" i="87"/>
  <c r="J112" i="87"/>
  <c r="I112" i="87"/>
  <c r="H112" i="87"/>
  <c r="G112" i="87"/>
  <c r="Y111" i="87"/>
  <c r="Z111" i="87" s="1"/>
  <c r="Q111" i="87"/>
  <c r="L111" i="87"/>
  <c r="L110" i="87" s="1"/>
  <c r="W110" i="87"/>
  <c r="V110" i="87"/>
  <c r="U110" i="87"/>
  <c r="T110" i="87"/>
  <c r="S110" i="87"/>
  <c r="R110" i="87"/>
  <c r="Q110" i="87"/>
  <c r="P110" i="87"/>
  <c r="O110" i="87"/>
  <c r="N110" i="87"/>
  <c r="K110" i="87"/>
  <c r="J110" i="87"/>
  <c r="I110" i="87"/>
  <c r="H110" i="87"/>
  <c r="G110" i="87"/>
  <c r="Y109" i="87"/>
  <c r="Z109" i="87" s="1"/>
  <c r="Q109" i="87"/>
  <c r="Q108" i="87" s="1"/>
  <c r="W108" i="87"/>
  <c r="V108" i="87"/>
  <c r="U108" i="87"/>
  <c r="T108" i="87"/>
  <c r="S108" i="87"/>
  <c r="R108" i="87"/>
  <c r="P108" i="87"/>
  <c r="O108" i="87"/>
  <c r="N108" i="87"/>
  <c r="L108" i="87"/>
  <c r="K108" i="87"/>
  <c r="J108" i="87"/>
  <c r="I108" i="87"/>
  <c r="H108" i="87"/>
  <c r="G108" i="87"/>
  <c r="Y107" i="87"/>
  <c r="Z107" i="87" s="1"/>
  <c r="Q107" i="87"/>
  <c r="Q106" i="87" s="1"/>
  <c r="W106" i="87"/>
  <c r="V106" i="87"/>
  <c r="U106" i="87"/>
  <c r="T106" i="87"/>
  <c r="S106" i="87"/>
  <c r="R106" i="87"/>
  <c r="P106" i="87"/>
  <c r="O106" i="87"/>
  <c r="N106" i="87"/>
  <c r="Y106" i="87" s="1"/>
  <c r="M106" i="87"/>
  <c r="L106" i="87"/>
  <c r="K106" i="87"/>
  <c r="J106" i="87"/>
  <c r="I106" i="87"/>
  <c r="H106" i="87"/>
  <c r="G106" i="87"/>
  <c r="Q105" i="87"/>
  <c r="Q104" i="87"/>
  <c r="Q103" i="87"/>
  <c r="Q102" i="87"/>
  <c r="Q101" i="87"/>
  <c r="Q100" i="87"/>
  <c r="Q99" i="87"/>
  <c r="Q98" i="87"/>
  <c r="Q97" i="87"/>
  <c r="Q96" i="87"/>
  <c r="Q95" i="87"/>
  <c r="W94" i="87"/>
  <c r="V94" i="87"/>
  <c r="U94" i="87"/>
  <c r="T94" i="87"/>
  <c r="S94" i="87"/>
  <c r="R94" i="87"/>
  <c r="P94" i="87"/>
  <c r="O94" i="87"/>
  <c r="N94" i="87"/>
  <c r="M94" i="87"/>
  <c r="L94" i="87"/>
  <c r="K94" i="87"/>
  <c r="J94" i="87"/>
  <c r="I94" i="87"/>
  <c r="H94" i="87"/>
  <c r="G94" i="87"/>
  <c r="Y93" i="87"/>
  <c r="Q93" i="87"/>
  <c r="L93" i="87"/>
  <c r="Y92" i="87"/>
  <c r="Q92" i="87"/>
  <c r="Q91" i="87" s="1"/>
  <c r="L92" i="87"/>
  <c r="W91" i="87"/>
  <c r="V91" i="87"/>
  <c r="U91" i="87"/>
  <c r="T91" i="87"/>
  <c r="S91" i="87"/>
  <c r="R91" i="87"/>
  <c r="P91" i="87"/>
  <c r="O91" i="87"/>
  <c r="N91" i="87"/>
  <c r="Y91" i="87" s="1"/>
  <c r="K91" i="87"/>
  <c r="J91" i="87"/>
  <c r="I91" i="87"/>
  <c r="H91" i="87"/>
  <c r="G91" i="87"/>
  <c r="Y90" i="87"/>
  <c r="Q90" i="87"/>
  <c r="Q89" i="87" s="1"/>
  <c r="L90" i="87"/>
  <c r="Z90" i="87" s="1"/>
  <c r="W89" i="87"/>
  <c r="V89" i="87"/>
  <c r="U89" i="87"/>
  <c r="T89" i="87"/>
  <c r="S89" i="87"/>
  <c r="R89" i="87"/>
  <c r="P89" i="87"/>
  <c r="O89" i="87"/>
  <c r="N89" i="87"/>
  <c r="K89" i="87"/>
  <c r="J89" i="87"/>
  <c r="I89" i="87"/>
  <c r="H89" i="87"/>
  <c r="G89" i="87"/>
  <c r="Q88" i="87"/>
  <c r="Q87" i="87" s="1"/>
  <c r="L88" i="87"/>
  <c r="L87" i="87" s="1"/>
  <c r="W87" i="87"/>
  <c r="V87" i="87"/>
  <c r="U87" i="87"/>
  <c r="T87" i="87"/>
  <c r="S87" i="87"/>
  <c r="R87" i="87"/>
  <c r="P87" i="87"/>
  <c r="O87" i="87"/>
  <c r="N87" i="87"/>
  <c r="M87" i="87"/>
  <c r="K87" i="87"/>
  <c r="J87" i="87"/>
  <c r="I87" i="87"/>
  <c r="H87" i="87"/>
  <c r="G87" i="87"/>
  <c r="Y86" i="87"/>
  <c r="Z86" i="87" s="1"/>
  <c r="Q86" i="87"/>
  <c r="Y85" i="87"/>
  <c r="Z85" i="87" s="1"/>
  <c r="Q85" i="87"/>
  <c r="Y84" i="87"/>
  <c r="Z84" i="87" s="1"/>
  <c r="Q84" i="87"/>
  <c r="Y83" i="87"/>
  <c r="Z83" i="87" s="1"/>
  <c r="Q83" i="87"/>
  <c r="Y82" i="87"/>
  <c r="Z82" i="87" s="1"/>
  <c r="Q82" i="87"/>
  <c r="Y81" i="87"/>
  <c r="Z81" i="87" s="1"/>
  <c r="Q81" i="87"/>
  <c r="Y80" i="87"/>
  <c r="Z80" i="87" s="1"/>
  <c r="Q80" i="87"/>
  <c r="Y79" i="87"/>
  <c r="Z79" i="87" s="1"/>
  <c r="Q79" i="87"/>
  <c r="Y78" i="87"/>
  <c r="Z78" i="87" s="1"/>
  <c r="Q78" i="87"/>
  <c r="Y77" i="87"/>
  <c r="Z77" i="87" s="1"/>
  <c r="Q77" i="87"/>
  <c r="Y76" i="87"/>
  <c r="Z76" i="87" s="1"/>
  <c r="Q76" i="87"/>
  <c r="Y75" i="87"/>
  <c r="Z75" i="87" s="1"/>
  <c r="Q75" i="87"/>
  <c r="W74" i="87"/>
  <c r="V74" i="87"/>
  <c r="U74" i="87"/>
  <c r="T74" i="87"/>
  <c r="S74" i="87"/>
  <c r="R74" i="87"/>
  <c r="P74" i="87"/>
  <c r="O74" i="87"/>
  <c r="N74" i="87"/>
  <c r="M74" i="87"/>
  <c r="L74" i="87"/>
  <c r="K74" i="87"/>
  <c r="J74" i="87"/>
  <c r="I74" i="87"/>
  <c r="H74" i="87"/>
  <c r="G74" i="87"/>
  <c r="Q73" i="87"/>
  <c r="L73" i="87"/>
  <c r="Q72" i="87"/>
  <c r="L72" i="87"/>
  <c r="Q71" i="87"/>
  <c r="L71" i="87"/>
  <c r="Q70" i="87"/>
  <c r="L70" i="87"/>
  <c r="Q69" i="87"/>
  <c r="L69" i="87"/>
  <c r="Q68" i="87"/>
  <c r="L68" i="87"/>
  <c r="Y67" i="87"/>
  <c r="Q67" i="87"/>
  <c r="L67" i="87"/>
  <c r="Y66" i="87"/>
  <c r="Q66" i="87"/>
  <c r="L66" i="87"/>
  <c r="Y65" i="87"/>
  <c r="Q65" i="87"/>
  <c r="L65" i="87"/>
  <c r="Y64" i="87"/>
  <c r="Q64" i="87"/>
  <c r="L64" i="87"/>
  <c r="Z64" i="87" s="1"/>
  <c r="Y63" i="87"/>
  <c r="Q63" i="87"/>
  <c r="L63" i="87"/>
  <c r="Y62" i="87"/>
  <c r="Q62" i="87"/>
  <c r="L62" i="87"/>
  <c r="W61" i="87"/>
  <c r="V61" i="87"/>
  <c r="U61" i="87"/>
  <c r="T61" i="87"/>
  <c r="S61" i="87"/>
  <c r="R61" i="87"/>
  <c r="P61" i="87"/>
  <c r="O61" i="87"/>
  <c r="N61" i="87"/>
  <c r="M61" i="87"/>
  <c r="K61" i="87"/>
  <c r="J61" i="87"/>
  <c r="I61" i="87"/>
  <c r="H61" i="87"/>
  <c r="G61" i="87"/>
  <c r="Q59" i="87"/>
  <c r="Q58" i="87"/>
  <c r="W57" i="87"/>
  <c r="V57" i="87"/>
  <c r="U57" i="87"/>
  <c r="T57" i="87"/>
  <c r="S57" i="87"/>
  <c r="R57" i="87"/>
  <c r="P57" i="87"/>
  <c r="O57" i="87"/>
  <c r="N57" i="87"/>
  <c r="M57" i="87"/>
  <c r="L57" i="87"/>
  <c r="K57" i="87"/>
  <c r="J57" i="87"/>
  <c r="I57" i="87"/>
  <c r="H57" i="87"/>
  <c r="G57" i="87"/>
  <c r="Z56" i="87"/>
  <c r="Y56" i="87"/>
  <c r="X56" i="87"/>
  <c r="Q56" i="87"/>
  <c r="Q55" i="87" s="1"/>
  <c r="W55" i="87"/>
  <c r="V55" i="87"/>
  <c r="V54" i="87" s="1"/>
  <c r="U55" i="87"/>
  <c r="T55" i="87"/>
  <c r="S55" i="87"/>
  <c r="R55" i="87"/>
  <c r="P55" i="87"/>
  <c r="P54" i="87" s="1"/>
  <c r="O55" i="87"/>
  <c r="N55" i="87"/>
  <c r="Y55" i="87" s="1"/>
  <c r="M55" i="87"/>
  <c r="M54" i="87" s="1"/>
  <c r="L55" i="87"/>
  <c r="L54" i="87" s="1"/>
  <c r="K55" i="87"/>
  <c r="J55" i="87"/>
  <c r="I55" i="87"/>
  <c r="I54" i="87" s="1"/>
  <c r="H55" i="87"/>
  <c r="G55" i="87"/>
  <c r="U54" i="87"/>
  <c r="Y53" i="87"/>
  <c r="Z53" i="87" s="1"/>
  <c r="X53" i="87"/>
  <c r="Q53" i="87"/>
  <c r="Q52" i="87" s="1"/>
  <c r="Q51" i="87" s="1"/>
  <c r="W52" i="87"/>
  <c r="W51" i="87" s="1"/>
  <c r="V52" i="87"/>
  <c r="U52" i="87"/>
  <c r="T52" i="87"/>
  <c r="T51" i="87" s="1"/>
  <c r="S52" i="87"/>
  <c r="S51" i="87" s="1"/>
  <c r="R52" i="87"/>
  <c r="R51" i="87" s="1"/>
  <c r="P52" i="87"/>
  <c r="P51" i="87" s="1"/>
  <c r="O52" i="87"/>
  <c r="O51" i="87" s="1"/>
  <c r="N52" i="87"/>
  <c r="L52" i="87"/>
  <c r="L51" i="87" s="1"/>
  <c r="K52" i="87"/>
  <c r="K51" i="87" s="1"/>
  <c r="J52" i="87"/>
  <c r="J51" i="87" s="1"/>
  <c r="I52" i="87"/>
  <c r="I51" i="87" s="1"/>
  <c r="H52" i="87"/>
  <c r="H51" i="87" s="1"/>
  <c r="G52" i="87"/>
  <c r="V51" i="87"/>
  <c r="U51" i="87"/>
  <c r="M51" i="87"/>
  <c r="G51" i="87"/>
  <c r="Q50" i="87"/>
  <c r="Q47" i="87" s="1"/>
  <c r="L50" i="87"/>
  <c r="G50" i="87"/>
  <c r="Q49" i="87"/>
  <c r="L49" i="87"/>
  <c r="G49" i="87"/>
  <c r="Q48" i="87"/>
  <c r="L48" i="87"/>
  <c r="G48" i="87"/>
  <c r="W47" i="87"/>
  <c r="V47" i="87"/>
  <c r="U47" i="87"/>
  <c r="T47" i="87"/>
  <c r="S47" i="87"/>
  <c r="R47" i="87"/>
  <c r="R43" i="87" s="1"/>
  <c r="P47" i="87"/>
  <c r="O47" i="87"/>
  <c r="N47" i="87"/>
  <c r="M47" i="87"/>
  <c r="K47" i="87"/>
  <c r="J47" i="87"/>
  <c r="I47" i="87"/>
  <c r="H47" i="87"/>
  <c r="Q46" i="87"/>
  <c r="L46" i="87"/>
  <c r="I46" i="87"/>
  <c r="G46" i="87" s="1"/>
  <c r="Q45" i="87"/>
  <c r="Q44" i="87" s="1"/>
  <c r="L45" i="87"/>
  <c r="G45" i="87"/>
  <c r="W44" i="87"/>
  <c r="V44" i="87"/>
  <c r="U44" i="87"/>
  <c r="T44" i="87"/>
  <c r="S44" i="87"/>
  <c r="R44" i="87"/>
  <c r="P44" i="87"/>
  <c r="P43" i="87" s="1"/>
  <c r="O44" i="87"/>
  <c r="O43" i="87" s="1"/>
  <c r="N44" i="87"/>
  <c r="N43" i="87" s="1"/>
  <c r="M44" i="87"/>
  <c r="M43" i="87" s="1"/>
  <c r="K44" i="87"/>
  <c r="K43" i="87" s="1"/>
  <c r="J44" i="87"/>
  <c r="H44" i="87"/>
  <c r="H43" i="87" s="1"/>
  <c r="V43" i="87"/>
  <c r="Q42" i="87"/>
  <c r="L42" i="87"/>
  <c r="G42" i="87"/>
  <c r="Q41" i="87"/>
  <c r="L41" i="87"/>
  <c r="G41" i="87"/>
  <c r="Q40" i="87"/>
  <c r="L40" i="87"/>
  <c r="G40" i="87"/>
  <c r="Q39" i="87"/>
  <c r="L39" i="87"/>
  <c r="G39" i="87"/>
  <c r="Q38" i="87"/>
  <c r="L38" i="87"/>
  <c r="W36" i="87"/>
  <c r="V36" i="87"/>
  <c r="U36" i="87"/>
  <c r="T36" i="87"/>
  <c r="S36" i="87"/>
  <c r="R36" i="87"/>
  <c r="P36" i="87"/>
  <c r="O36" i="87"/>
  <c r="N36" i="87"/>
  <c r="M36" i="87"/>
  <c r="K36" i="87"/>
  <c r="J36" i="87"/>
  <c r="I36" i="87"/>
  <c r="H36" i="87"/>
  <c r="Q34" i="87"/>
  <c r="Q33" i="87"/>
  <c r="Q32" i="87"/>
  <c r="Q31" i="87"/>
  <c r="Q30" i="87"/>
  <c r="Q29" i="87"/>
  <c r="Q28" i="87"/>
  <c r="Q27" i="87"/>
  <c r="Q26" i="87"/>
  <c r="Q25" i="87"/>
  <c r="Q24" i="87"/>
  <c r="Q23" i="87"/>
  <c r="W22" i="87"/>
  <c r="V22" i="87"/>
  <c r="U22" i="87"/>
  <c r="T22" i="87"/>
  <c r="S22" i="87"/>
  <c r="R22" i="87"/>
  <c r="P22" i="87"/>
  <c r="O22" i="87"/>
  <c r="N22" i="87"/>
  <c r="M22" i="87"/>
  <c r="L22" i="87"/>
  <c r="K22" i="87"/>
  <c r="J22" i="87"/>
  <c r="I22" i="87"/>
  <c r="H22" i="87"/>
  <c r="G22" i="87"/>
  <c r="Y20" i="87"/>
  <c r="Q20" i="87"/>
  <c r="L20" i="87"/>
  <c r="Y19" i="87"/>
  <c r="Q19" i="87"/>
  <c r="L19" i="87"/>
  <c r="Y18" i="87"/>
  <c r="Q18" i="87"/>
  <c r="L18" i="87"/>
  <c r="Z18" i="87" s="1"/>
  <c r="Y17" i="87"/>
  <c r="Q17" i="87"/>
  <c r="L17" i="87"/>
  <c r="Z17" i="87" s="1"/>
  <c r="W16" i="87"/>
  <c r="W15" i="87" s="1"/>
  <c r="V16" i="87"/>
  <c r="V15" i="87" s="1"/>
  <c r="U16" i="87"/>
  <c r="U15" i="87" s="1"/>
  <c r="T16" i="87"/>
  <c r="T15" i="87" s="1"/>
  <c r="S16" i="87"/>
  <c r="S15" i="87" s="1"/>
  <c r="R16" i="87"/>
  <c r="R15" i="87" s="1"/>
  <c r="P16" i="87"/>
  <c r="P15" i="87" s="1"/>
  <c r="O16" i="87"/>
  <c r="O15" i="87" s="1"/>
  <c r="N16" i="87"/>
  <c r="N15" i="87" s="1"/>
  <c r="K16" i="87"/>
  <c r="K15" i="87" s="1"/>
  <c r="J16" i="87"/>
  <c r="J15" i="87" s="1"/>
  <c r="I16" i="87"/>
  <c r="I15" i="87" s="1"/>
  <c r="H16" i="87"/>
  <c r="H15" i="87" s="1"/>
  <c r="G16" i="87"/>
  <c r="G15" i="87"/>
  <c r="Q14" i="87"/>
  <c r="Q13" i="87"/>
  <c r="W12" i="87"/>
  <c r="W11" i="87" s="1"/>
  <c r="V12" i="87"/>
  <c r="V11" i="87" s="1"/>
  <c r="U12" i="87"/>
  <c r="U11" i="87" s="1"/>
  <c r="T12" i="87"/>
  <c r="T11" i="87" s="1"/>
  <c r="S12" i="87"/>
  <c r="R12" i="87"/>
  <c r="R11" i="87" s="1"/>
  <c r="P12" i="87"/>
  <c r="P11" i="87" s="1"/>
  <c r="O12" i="87"/>
  <c r="O11" i="87" s="1"/>
  <c r="N12" i="87"/>
  <c r="N11" i="87" s="1"/>
  <c r="L12" i="87"/>
  <c r="K12" i="87"/>
  <c r="K11" i="87" s="1"/>
  <c r="J12" i="87"/>
  <c r="J11" i="87" s="1"/>
  <c r="I12" i="87"/>
  <c r="I11" i="87" s="1"/>
  <c r="H12" i="87"/>
  <c r="H11" i="87" s="1"/>
  <c r="G12" i="87"/>
  <c r="G11" i="87" s="1"/>
  <c r="S11" i="87"/>
  <c r="M11" i="87"/>
  <c r="Q46" i="86"/>
  <c r="C46" i="86" s="1"/>
  <c r="F45" i="86"/>
  <c r="C45" i="86" s="1"/>
  <c r="N44" i="86"/>
  <c r="C44" i="86" s="1"/>
  <c r="N43" i="86"/>
  <c r="C43" i="86" s="1"/>
  <c r="N42" i="86"/>
  <c r="C42" i="86" s="1"/>
  <c r="I41" i="86"/>
  <c r="I8" i="86" s="1"/>
  <c r="O40" i="86"/>
  <c r="O8" i="86" s="1"/>
  <c r="N40" i="86"/>
  <c r="C39" i="86"/>
  <c r="N38" i="86"/>
  <c r="C38" i="86" s="1"/>
  <c r="G37" i="86"/>
  <c r="C37" i="86" s="1"/>
  <c r="C36" i="86"/>
  <c r="C35" i="86"/>
  <c r="M34" i="86"/>
  <c r="C34" i="86" s="1"/>
  <c r="M33" i="86"/>
  <c r="C33" i="86"/>
  <c r="N32" i="86"/>
  <c r="C32" i="86" s="1"/>
  <c r="M31" i="86"/>
  <c r="C31" i="86" s="1"/>
  <c r="M30" i="86"/>
  <c r="C30" i="86"/>
  <c r="N29" i="86"/>
  <c r="M29" i="86"/>
  <c r="H29" i="86"/>
  <c r="F29" i="86"/>
  <c r="N28" i="86"/>
  <c r="H28" i="86"/>
  <c r="C27" i="86"/>
  <c r="N26" i="86"/>
  <c r="M26" i="86"/>
  <c r="F26" i="86"/>
  <c r="N25" i="86"/>
  <c r="M25" i="86"/>
  <c r="F25" i="86"/>
  <c r="N24" i="86"/>
  <c r="M24" i="86"/>
  <c r="M23" i="86"/>
  <c r="F23" i="86"/>
  <c r="N22" i="86"/>
  <c r="M22" i="86"/>
  <c r="F22" i="86"/>
  <c r="N21" i="86"/>
  <c r="M21" i="86"/>
  <c r="N20" i="86"/>
  <c r="F20" i="86"/>
  <c r="M19" i="86"/>
  <c r="C19" i="86"/>
  <c r="M18" i="86"/>
  <c r="M17" i="86"/>
  <c r="C17" i="86" s="1"/>
  <c r="M16" i="86"/>
  <c r="C16" i="86"/>
  <c r="M15" i="86"/>
  <c r="C15" i="86"/>
  <c r="M14" i="86"/>
  <c r="C14" i="86" s="1"/>
  <c r="M13" i="86"/>
  <c r="C13" i="86"/>
  <c r="C12" i="86"/>
  <c r="M11" i="86"/>
  <c r="C11" i="86" s="1"/>
  <c r="E10" i="86"/>
  <c r="C10" i="86" s="1"/>
  <c r="D9" i="86"/>
  <c r="D8" i="86" s="1"/>
  <c r="P8" i="86"/>
  <c r="L8" i="86"/>
  <c r="K8" i="86"/>
  <c r="J8" i="86"/>
  <c r="G8" i="86"/>
  <c r="T38" i="85"/>
  <c r="T39" i="85"/>
  <c r="T37" i="85"/>
  <c r="P38" i="85"/>
  <c r="P39" i="85"/>
  <c r="P37" i="85"/>
  <c r="G38" i="85"/>
  <c r="G39" i="85"/>
  <c r="G37" i="85"/>
  <c r="Y12" i="87" l="1"/>
  <c r="Y52" i="87"/>
  <c r="N54" i="87"/>
  <c r="Z67" i="87"/>
  <c r="U166" i="87"/>
  <c r="C23" i="86"/>
  <c r="Q12" i="87"/>
  <c r="Q11" i="87" s="1"/>
  <c r="L16" i="87"/>
  <c r="Y87" i="87"/>
  <c r="Q146" i="87"/>
  <c r="Q145" i="87" s="1"/>
  <c r="Y197" i="87"/>
  <c r="Z197" i="87" s="1"/>
  <c r="T118" i="87"/>
  <c r="T117" i="87" s="1"/>
  <c r="T60" i="87" s="1"/>
  <c r="G36" i="87"/>
  <c r="G35" i="87" s="1"/>
  <c r="G21" i="87" s="1"/>
  <c r="G47" i="87"/>
  <c r="N51" i="87"/>
  <c r="G54" i="87"/>
  <c r="L149" i="87"/>
  <c r="G203" i="87"/>
  <c r="G202" i="87" s="1"/>
  <c r="V35" i="87"/>
  <c r="V21" i="87" s="1"/>
  <c r="U43" i="87"/>
  <c r="H54" i="87"/>
  <c r="Z108" i="87"/>
  <c r="Y112" i="87"/>
  <c r="Z112" i="87" s="1"/>
  <c r="C25" i="86"/>
  <c r="Y89" i="87"/>
  <c r="Y108" i="87"/>
  <c r="Q177" i="87"/>
  <c r="Q203" i="87"/>
  <c r="Q202" i="87" s="1"/>
  <c r="P35" i="87"/>
  <c r="P21" i="87" s="1"/>
  <c r="I44" i="87"/>
  <c r="I43" i="87" s="1"/>
  <c r="W43" i="87"/>
  <c r="W35" i="87" s="1"/>
  <c r="W21" i="87" s="1"/>
  <c r="W10" i="87" s="1"/>
  <c r="J54" i="87"/>
  <c r="P118" i="87"/>
  <c r="G134" i="87"/>
  <c r="S166" i="87"/>
  <c r="Q209" i="87"/>
  <c r="R35" i="87"/>
  <c r="R21" i="87" s="1"/>
  <c r="J43" i="87"/>
  <c r="Q94" i="87"/>
  <c r="R118" i="87"/>
  <c r="T166" i="87"/>
  <c r="L44" i="87"/>
  <c r="L91" i="87"/>
  <c r="Z91" i="87" s="1"/>
  <c r="G126" i="87"/>
  <c r="U146" i="87"/>
  <c r="U145" i="87" s="1"/>
  <c r="Q174" i="87"/>
  <c r="Y94" i="87"/>
  <c r="Z94" i="87" s="1"/>
  <c r="Y110" i="87"/>
  <c r="Z110" i="87" s="1"/>
  <c r="G147" i="87"/>
  <c r="H166" i="87"/>
  <c r="J35" i="87"/>
  <c r="J21" i="87" s="1"/>
  <c r="M35" i="87"/>
  <c r="M21" i="87" s="1"/>
  <c r="R117" i="87"/>
  <c r="N35" i="87"/>
  <c r="N21" i="87" s="1"/>
  <c r="O35" i="87"/>
  <c r="O21" i="87" s="1"/>
  <c r="Q16" i="87"/>
  <c r="Q15" i="87" s="1"/>
  <c r="Q43" i="87"/>
  <c r="T54" i="87"/>
  <c r="Q61" i="87"/>
  <c r="Y74" i="87"/>
  <c r="Z74" i="87" s="1"/>
  <c r="N118" i="87"/>
  <c r="N117" i="87" s="1"/>
  <c r="N60" i="87" s="1"/>
  <c r="G122" i="87"/>
  <c r="J118" i="87"/>
  <c r="L142" i="87"/>
  <c r="N146" i="87"/>
  <c r="N145" i="87" s="1"/>
  <c r="P166" i="87"/>
  <c r="K166" i="87"/>
  <c r="C21" i="86"/>
  <c r="Q22" i="87"/>
  <c r="I35" i="87"/>
  <c r="I21" i="87" s="1"/>
  <c r="O118" i="87"/>
  <c r="O117" i="87" s="1"/>
  <c r="O60" i="87" s="1"/>
  <c r="Q142" i="87"/>
  <c r="R166" i="87"/>
  <c r="G149" i="87"/>
  <c r="M166" i="87"/>
  <c r="N199" i="87"/>
  <c r="Y199" i="87" s="1"/>
  <c r="Z199" i="87" s="1"/>
  <c r="L209" i="87"/>
  <c r="G44" i="87"/>
  <c r="G43" i="87" s="1"/>
  <c r="U60" i="87"/>
  <c r="Z66" i="87"/>
  <c r="H118" i="87"/>
  <c r="H117" i="87" s="1"/>
  <c r="L177" i="87"/>
  <c r="L166" i="87" s="1"/>
  <c r="Q36" i="87"/>
  <c r="Z65" i="87"/>
  <c r="Z20" i="87"/>
  <c r="L36" i="87"/>
  <c r="L35" i="87" s="1"/>
  <c r="L21" i="87" s="1"/>
  <c r="W54" i="87"/>
  <c r="Q126" i="87"/>
  <c r="Q149" i="87"/>
  <c r="I166" i="87"/>
  <c r="W118" i="87"/>
  <c r="W117" i="87" s="1"/>
  <c r="W60" i="87" s="1"/>
  <c r="Z12" i="87"/>
  <c r="Z55" i="87"/>
  <c r="Z92" i="87"/>
  <c r="V118" i="87"/>
  <c r="V117" i="87" s="1"/>
  <c r="Q57" i="87"/>
  <c r="O54" i="87"/>
  <c r="Y54" i="87" s="1"/>
  <c r="Z54" i="87" s="1"/>
  <c r="Z62" i="87"/>
  <c r="L134" i="87"/>
  <c r="Q169" i="87"/>
  <c r="V166" i="87"/>
  <c r="M8" i="86"/>
  <c r="K54" i="87"/>
  <c r="L61" i="87"/>
  <c r="G130" i="87"/>
  <c r="Q134" i="87"/>
  <c r="W166" i="87"/>
  <c r="K118" i="87"/>
  <c r="Z93" i="87"/>
  <c r="L130" i="87"/>
  <c r="J166" i="87"/>
  <c r="L203" i="87"/>
  <c r="L202" i="87" s="1"/>
  <c r="P117" i="87"/>
  <c r="P60" i="87" s="1"/>
  <c r="P10" i="87" s="1"/>
  <c r="R60" i="87"/>
  <c r="G209" i="87"/>
  <c r="U118" i="87"/>
  <c r="U117" i="87" s="1"/>
  <c r="S43" i="87"/>
  <c r="R54" i="87"/>
  <c r="L122" i="87"/>
  <c r="Q130" i="87"/>
  <c r="Y167" i="87"/>
  <c r="Z167" i="87" s="1"/>
  <c r="Z114" i="87"/>
  <c r="Q74" i="87"/>
  <c r="U35" i="87"/>
  <c r="U21" i="87" s="1"/>
  <c r="U10" i="87" s="1"/>
  <c r="T43" i="87"/>
  <c r="T35" i="87" s="1"/>
  <c r="T21" i="87" s="1"/>
  <c r="L47" i="87"/>
  <c r="L43" i="87" s="1"/>
  <c r="S54" i="87"/>
  <c r="Z106" i="87"/>
  <c r="M118" i="87"/>
  <c r="Q122" i="87"/>
  <c r="I118" i="87"/>
  <c r="S118" i="87"/>
  <c r="S117" i="87" s="1"/>
  <c r="S60" i="87" s="1"/>
  <c r="G148" i="87"/>
  <c r="G146" i="87" s="1"/>
  <c r="G145" i="87" s="1"/>
  <c r="O166" i="87"/>
  <c r="G174" i="87"/>
  <c r="G166" i="87" s="1"/>
  <c r="C28" i="86"/>
  <c r="C41" i="86"/>
  <c r="Q8" i="86"/>
  <c r="N8" i="86"/>
  <c r="C24" i="86"/>
  <c r="E8" i="86"/>
  <c r="C29" i="86"/>
  <c r="C20" i="86"/>
  <c r="C26" i="86"/>
  <c r="C22" i="86"/>
  <c r="C9" i="86"/>
  <c r="C40" i="86"/>
  <c r="Y11" i="87"/>
  <c r="Y15" i="87"/>
  <c r="V60" i="87"/>
  <c r="Q166" i="87"/>
  <c r="H35" i="87"/>
  <c r="H21" i="87" s="1"/>
  <c r="Y51" i="87"/>
  <c r="Z51" i="87" s="1"/>
  <c r="L15" i="87"/>
  <c r="Z15" i="87" s="1"/>
  <c r="K35" i="87"/>
  <c r="K21" i="87" s="1"/>
  <c r="K10" i="87" s="1"/>
  <c r="H60" i="87"/>
  <c r="J117" i="87"/>
  <c r="J60" i="87" s="1"/>
  <c r="Q54" i="87"/>
  <c r="K117" i="87"/>
  <c r="K60" i="87" s="1"/>
  <c r="Z169" i="87"/>
  <c r="Z87" i="87"/>
  <c r="L146" i="87"/>
  <c r="L145" i="87" s="1"/>
  <c r="S35" i="87"/>
  <c r="S21" i="87" s="1"/>
  <c r="M117" i="87"/>
  <c r="M60" i="87" s="1"/>
  <c r="Y16" i="87"/>
  <c r="Z16" i="87" s="1"/>
  <c r="Z52" i="87"/>
  <c r="Z19" i="87"/>
  <c r="Z63" i="87"/>
  <c r="N166" i="87"/>
  <c r="Z200" i="87"/>
  <c r="L11" i="87"/>
  <c r="L89" i="87"/>
  <c r="Y61" i="87"/>
  <c r="I146" i="87"/>
  <c r="I145" i="87" s="1"/>
  <c r="H8" i="86"/>
  <c r="F8" i="86"/>
  <c r="C18" i="86"/>
  <c r="Q118" i="87" l="1"/>
  <c r="Q117" i="87" s="1"/>
  <c r="Q60" i="87" s="1"/>
  <c r="L118" i="87"/>
  <c r="O10" i="87"/>
  <c r="Z61" i="87"/>
  <c r="V10" i="87"/>
  <c r="R10" i="87"/>
  <c r="Z89" i="87"/>
  <c r="Y166" i="87"/>
  <c r="Z166" i="87" s="1"/>
  <c r="T10" i="87"/>
  <c r="G118" i="87"/>
  <c r="G117" i="87" s="1"/>
  <c r="G60" i="87" s="1"/>
  <c r="G10" i="87" s="1"/>
  <c r="Y60" i="87"/>
  <c r="J10" i="87"/>
  <c r="H10" i="87"/>
  <c r="M10" i="87"/>
  <c r="Q35" i="87"/>
  <c r="Q21" i="87" s="1"/>
  <c r="Q10" i="87" s="1"/>
  <c r="S10" i="87"/>
  <c r="I117" i="87"/>
  <c r="I60" i="87" s="1"/>
  <c r="I10" i="87" s="1"/>
  <c r="L117" i="87"/>
  <c r="C8" i="86"/>
  <c r="Z11" i="87"/>
  <c r="L60" i="87"/>
  <c r="Z60" i="87" s="1"/>
  <c r="N10" i="87"/>
  <c r="Y10" i="87" s="1"/>
  <c r="L10" i="87" l="1"/>
  <c r="Z10" i="87" s="1"/>
  <c r="H35" i="85" l="1"/>
  <c r="G35" i="85" s="1"/>
  <c r="I35" i="85"/>
  <c r="J35" i="85"/>
  <c r="K35" i="85"/>
  <c r="U31" i="85"/>
  <c r="V31" i="85"/>
  <c r="W31" i="85"/>
  <c r="X31" i="85"/>
  <c r="Y31" i="85"/>
  <c r="Z31" i="85"/>
  <c r="T33" i="85"/>
  <c r="T32" i="85"/>
  <c r="P33" i="85"/>
  <c r="P32" i="85"/>
  <c r="G33" i="85"/>
  <c r="G32" i="85"/>
  <c r="U30" i="85"/>
  <c r="T31" i="85" l="1"/>
  <c r="G31" i="85"/>
  <c r="G20" i="85" l="1"/>
  <c r="G21" i="85"/>
  <c r="G22" i="85"/>
  <c r="G19" i="85"/>
  <c r="G16" i="85"/>
  <c r="G15" i="85"/>
  <c r="L15" i="85"/>
  <c r="Q15" i="85"/>
  <c r="P15" i="85" s="1"/>
  <c r="T15" i="85"/>
  <c r="L16" i="85"/>
  <c r="Q16" i="85"/>
  <c r="R16" i="85"/>
  <c r="T16" i="85"/>
  <c r="P16" i="85" l="1"/>
  <c r="L21" i="82" l="1"/>
  <c r="L20" i="82"/>
  <c r="L19" i="82"/>
  <c r="L17" i="82"/>
  <c r="L24" i="82"/>
  <c r="L25" i="82"/>
  <c r="C15" i="82"/>
  <c r="C16" i="82"/>
  <c r="C17" i="82"/>
  <c r="C18" i="82"/>
  <c r="C19" i="82"/>
  <c r="C20" i="82"/>
  <c r="C21" i="82"/>
  <c r="C22" i="82"/>
  <c r="C23" i="82"/>
  <c r="C24" i="82"/>
  <c r="C25" i="82"/>
  <c r="C26" i="82"/>
  <c r="C27" i="82"/>
  <c r="C28" i="82"/>
  <c r="C29" i="82"/>
  <c r="C30" i="82"/>
  <c r="C31" i="82"/>
  <c r="C32" i="82"/>
  <c r="C33" i="82"/>
  <c r="P124" i="85" l="1"/>
  <c r="Q124" i="85"/>
  <c r="R124" i="85"/>
  <c r="S124" i="85"/>
  <c r="M121" i="85"/>
  <c r="N121" i="85"/>
  <c r="O121" i="85"/>
  <c r="M35" i="85"/>
  <c r="M34" i="85" s="1"/>
  <c r="N35" i="85"/>
  <c r="O35" i="85"/>
  <c r="O34" i="85" s="1"/>
  <c r="M80" i="85"/>
  <c r="N80" i="85"/>
  <c r="O80" i="85"/>
  <c r="O60" i="85"/>
  <c r="O14" i="85"/>
  <c r="O13" i="85" s="1"/>
  <c r="N14" i="85"/>
  <c r="N13" i="85" s="1"/>
  <c r="S126" i="85"/>
  <c r="R126" i="85"/>
  <c r="Q126" i="85"/>
  <c r="S123" i="85"/>
  <c r="R123" i="85"/>
  <c r="Q123" i="85"/>
  <c r="S122" i="85"/>
  <c r="S121" i="85" s="1"/>
  <c r="R122" i="85"/>
  <c r="R121" i="85" s="1"/>
  <c r="Q122" i="85"/>
  <c r="S120" i="85"/>
  <c r="R120" i="85"/>
  <c r="Q120" i="85"/>
  <c r="S119" i="85"/>
  <c r="R119" i="85"/>
  <c r="Q119" i="85"/>
  <c r="S117" i="85"/>
  <c r="S116" i="85" s="1"/>
  <c r="R117" i="85"/>
  <c r="R116" i="85" s="1"/>
  <c r="Q117" i="85"/>
  <c r="Q116" i="85" s="1"/>
  <c r="S114" i="85"/>
  <c r="R114" i="85"/>
  <c r="Q114" i="85"/>
  <c r="S113" i="85"/>
  <c r="R113" i="85"/>
  <c r="Q113" i="85"/>
  <c r="S112" i="85"/>
  <c r="R112" i="85"/>
  <c r="Q112" i="85"/>
  <c r="S111" i="85"/>
  <c r="R111" i="85"/>
  <c r="Q111" i="85"/>
  <c r="S110" i="85"/>
  <c r="R110" i="85"/>
  <c r="R107" i="85" s="1"/>
  <c r="Q110" i="85"/>
  <c r="S109" i="85"/>
  <c r="R109" i="85"/>
  <c r="Q109" i="85"/>
  <c r="S108" i="85"/>
  <c r="R108" i="85"/>
  <c r="Q108" i="85"/>
  <c r="S106" i="85"/>
  <c r="R106" i="85"/>
  <c r="Q106" i="85"/>
  <c r="S105" i="85"/>
  <c r="R105" i="85"/>
  <c r="Q105" i="85"/>
  <c r="S104" i="85"/>
  <c r="R104" i="85"/>
  <c r="Q104" i="85"/>
  <c r="S102" i="85"/>
  <c r="S101" i="85" s="1"/>
  <c r="R102" i="85"/>
  <c r="R101" i="85" s="1"/>
  <c r="Q102" i="85"/>
  <c r="S100" i="85"/>
  <c r="R100" i="85"/>
  <c r="Q100" i="85"/>
  <c r="S99" i="85"/>
  <c r="R99" i="85"/>
  <c r="Q99" i="85"/>
  <c r="S97" i="85"/>
  <c r="S96" i="85" s="1"/>
  <c r="R97" i="85"/>
  <c r="Q97" i="85"/>
  <c r="S95" i="85"/>
  <c r="R95" i="85"/>
  <c r="Q95" i="85"/>
  <c r="S94" i="85"/>
  <c r="R94" i="85"/>
  <c r="Q94" i="85"/>
  <c r="S93" i="85"/>
  <c r="R93" i="85"/>
  <c r="Q93" i="85"/>
  <c r="S91" i="85"/>
  <c r="R91" i="85"/>
  <c r="Q91" i="85"/>
  <c r="S90" i="85"/>
  <c r="R90" i="85"/>
  <c r="Q90" i="85"/>
  <c r="Q89" i="85" s="1"/>
  <c r="S88" i="85"/>
  <c r="S87" i="85" s="1"/>
  <c r="R88" i="85"/>
  <c r="R87" i="85" s="1"/>
  <c r="Q88" i="85"/>
  <c r="S86" i="85"/>
  <c r="S85" i="85" s="1"/>
  <c r="R86" i="85"/>
  <c r="R85" i="85" s="1"/>
  <c r="Q86" i="85"/>
  <c r="S84" i="85"/>
  <c r="S83" i="85" s="1"/>
  <c r="R84" i="85"/>
  <c r="Q84" i="85"/>
  <c r="Q83" i="85" s="1"/>
  <c r="S82" i="85"/>
  <c r="R82" i="85"/>
  <c r="Q82" i="85"/>
  <c r="S81" i="85"/>
  <c r="S80" i="85" s="1"/>
  <c r="R81" i="85"/>
  <c r="Q81" i="85"/>
  <c r="S79" i="85"/>
  <c r="S78" i="85" s="1"/>
  <c r="R79" i="85"/>
  <c r="R78" i="85" s="1"/>
  <c r="Q79" i="85"/>
  <c r="Q78" i="85" s="1"/>
  <c r="S77" i="85"/>
  <c r="S76" i="85" s="1"/>
  <c r="R77" i="85"/>
  <c r="R76" i="85" s="1"/>
  <c r="Q77" i="85"/>
  <c r="Q76" i="85" s="1"/>
  <c r="S75" i="85"/>
  <c r="R75" i="85"/>
  <c r="R74" i="85" s="1"/>
  <c r="Q75" i="85"/>
  <c r="S73" i="85"/>
  <c r="R73" i="85"/>
  <c r="Q73" i="85"/>
  <c r="S72" i="85"/>
  <c r="R72" i="85"/>
  <c r="Q72" i="85"/>
  <c r="S71" i="85"/>
  <c r="R71" i="85"/>
  <c r="Q71" i="85"/>
  <c r="S70" i="85"/>
  <c r="R70" i="85"/>
  <c r="Q70" i="85"/>
  <c r="S69" i="85"/>
  <c r="R69" i="85"/>
  <c r="Q69" i="85"/>
  <c r="S68" i="85"/>
  <c r="R68" i="85"/>
  <c r="Q68" i="85"/>
  <c r="S67" i="85"/>
  <c r="R67" i="85"/>
  <c r="Q67" i="85"/>
  <c r="S66" i="85"/>
  <c r="R66" i="85"/>
  <c r="Q66" i="85"/>
  <c r="S65" i="85"/>
  <c r="R65" i="85"/>
  <c r="Q65" i="85"/>
  <c r="S64" i="85"/>
  <c r="R64" i="85"/>
  <c r="Q64" i="85"/>
  <c r="S63" i="85"/>
  <c r="R63" i="85"/>
  <c r="Q63" i="85"/>
  <c r="S62" i="85"/>
  <c r="R62" i="85"/>
  <c r="Q62" i="85"/>
  <c r="S61" i="85"/>
  <c r="R61" i="85"/>
  <c r="Q61" i="85"/>
  <c r="S59" i="85"/>
  <c r="R59" i="85"/>
  <c r="Q59" i="85"/>
  <c r="S58" i="85"/>
  <c r="R58" i="85"/>
  <c r="Q58" i="85"/>
  <c r="S57" i="85"/>
  <c r="R57" i="85"/>
  <c r="Q57" i="85"/>
  <c r="S56" i="85"/>
  <c r="R56" i="85"/>
  <c r="Q56" i="85"/>
  <c r="S55" i="85"/>
  <c r="R55" i="85"/>
  <c r="Q55" i="85"/>
  <c r="S54" i="85"/>
  <c r="R54" i="85"/>
  <c r="Q54" i="85"/>
  <c r="S53" i="85"/>
  <c r="R53" i="85"/>
  <c r="Q53" i="85"/>
  <c r="S51" i="85"/>
  <c r="R51" i="85"/>
  <c r="Q51" i="85"/>
  <c r="S52" i="85"/>
  <c r="R52" i="85"/>
  <c r="Q52" i="85"/>
  <c r="S50" i="85"/>
  <c r="R50" i="85"/>
  <c r="Q50" i="85"/>
  <c r="S47" i="85"/>
  <c r="S46" i="85" s="1"/>
  <c r="S45" i="85" s="1"/>
  <c r="R47" i="85"/>
  <c r="R46" i="85" s="1"/>
  <c r="R45" i="85" s="1"/>
  <c r="Q47" i="85"/>
  <c r="S44" i="85"/>
  <c r="S43" i="85" s="1"/>
  <c r="R44" i="85"/>
  <c r="R43" i="85" s="1"/>
  <c r="Q44" i="85"/>
  <c r="Q43" i="85" s="1"/>
  <c r="S42" i="85"/>
  <c r="R42" i="85"/>
  <c r="Q42" i="85"/>
  <c r="S40" i="85"/>
  <c r="S35" i="85" s="1"/>
  <c r="R40" i="85"/>
  <c r="R35" i="85" s="1"/>
  <c r="Q40" i="85"/>
  <c r="S31" i="85"/>
  <c r="R31" i="85"/>
  <c r="Q31" i="85"/>
  <c r="S29" i="85"/>
  <c r="S28" i="85" s="1"/>
  <c r="Q29" i="85"/>
  <c r="S26" i="85"/>
  <c r="R27" i="85"/>
  <c r="R26" i="85" s="1"/>
  <c r="Q27" i="85"/>
  <c r="Q26" i="85" s="1"/>
  <c r="S24" i="85"/>
  <c r="R25" i="85"/>
  <c r="R24" i="85" s="1"/>
  <c r="Q25" i="85"/>
  <c r="Q24" i="85" s="1"/>
  <c r="R22" i="85"/>
  <c r="Q22" i="85"/>
  <c r="R21" i="85"/>
  <c r="Q21" i="85"/>
  <c r="R20" i="85"/>
  <c r="Q20" i="85"/>
  <c r="S18" i="85"/>
  <c r="S17" i="85" s="1"/>
  <c r="R19" i="85"/>
  <c r="Q19" i="85"/>
  <c r="M14" i="85"/>
  <c r="M13" i="85" s="1"/>
  <c r="I29" i="85"/>
  <c r="I28" i="85" s="1"/>
  <c r="H80" i="85"/>
  <c r="I80" i="85"/>
  <c r="J80" i="85"/>
  <c r="K80" i="85"/>
  <c r="H49" i="85"/>
  <c r="I49" i="85"/>
  <c r="J49" i="85"/>
  <c r="K49" i="85"/>
  <c r="M49" i="85"/>
  <c r="N49" i="85"/>
  <c r="O49" i="85"/>
  <c r="J26" i="85"/>
  <c r="K26" i="85"/>
  <c r="M26" i="85"/>
  <c r="N26" i="85"/>
  <c r="O26" i="85"/>
  <c r="K18" i="85"/>
  <c r="K17" i="85" s="1"/>
  <c r="M18" i="85"/>
  <c r="M17" i="85" s="1"/>
  <c r="N18" i="85"/>
  <c r="N17" i="85" s="1"/>
  <c r="O18" i="85"/>
  <c r="O17" i="85" s="1"/>
  <c r="S74" i="85"/>
  <c r="K74" i="85"/>
  <c r="M74" i="85"/>
  <c r="N74" i="85"/>
  <c r="O74" i="85"/>
  <c r="K76" i="85"/>
  <c r="M76" i="85"/>
  <c r="N76" i="85"/>
  <c r="O76" i="85"/>
  <c r="O78" i="85"/>
  <c r="K78" i="85"/>
  <c r="M78" i="85"/>
  <c r="N78" i="85"/>
  <c r="L126" i="85"/>
  <c r="J125" i="85"/>
  <c r="K125" i="85"/>
  <c r="M125" i="85"/>
  <c r="M124" i="85" s="1"/>
  <c r="N125" i="85"/>
  <c r="N124" i="85" s="1"/>
  <c r="O125" i="85"/>
  <c r="O124" i="85" s="1"/>
  <c r="L123" i="85"/>
  <c r="H121" i="85"/>
  <c r="I121" i="85"/>
  <c r="J121" i="85"/>
  <c r="K121" i="85"/>
  <c r="L122" i="85"/>
  <c r="L121" i="85" s="1"/>
  <c r="M116" i="85"/>
  <c r="N116" i="85"/>
  <c r="O116" i="85"/>
  <c r="L120" i="85"/>
  <c r="L119" i="85"/>
  <c r="L117" i="85"/>
  <c r="L116" i="85" s="1"/>
  <c r="L114" i="85"/>
  <c r="L113" i="85"/>
  <c r="L112" i="85"/>
  <c r="L111" i="85"/>
  <c r="M103" i="85"/>
  <c r="N103" i="85"/>
  <c r="O103" i="85"/>
  <c r="M107" i="85"/>
  <c r="N107" i="85"/>
  <c r="O107" i="85"/>
  <c r="L110" i="85"/>
  <c r="L109" i="85"/>
  <c r="L108" i="85"/>
  <c r="L106" i="85"/>
  <c r="L105" i="85"/>
  <c r="L104" i="85"/>
  <c r="L102" i="85"/>
  <c r="L101" i="85" s="1"/>
  <c r="L100" i="85"/>
  <c r="L99" i="85"/>
  <c r="L97" i="85"/>
  <c r="L96" i="85" s="1"/>
  <c r="L95" i="85"/>
  <c r="L94" i="85"/>
  <c r="L93" i="85"/>
  <c r="L91" i="85"/>
  <c r="L90" i="85"/>
  <c r="L88" i="85"/>
  <c r="L87" i="85" s="1"/>
  <c r="L86" i="85"/>
  <c r="L85" i="85" s="1"/>
  <c r="L84" i="85"/>
  <c r="L83" i="85" s="1"/>
  <c r="L82" i="85"/>
  <c r="L81" i="85"/>
  <c r="L79" i="85"/>
  <c r="L78" i="85" s="1"/>
  <c r="L77" i="85"/>
  <c r="L76" i="85" s="1"/>
  <c r="L75" i="85"/>
  <c r="L74" i="85" s="1"/>
  <c r="L63" i="85"/>
  <c r="L64" i="85"/>
  <c r="L73" i="85"/>
  <c r="L72" i="85"/>
  <c r="L71" i="85"/>
  <c r="L70" i="85"/>
  <c r="L69" i="85"/>
  <c r="L68" i="85"/>
  <c r="L67" i="85"/>
  <c r="L66" i="85"/>
  <c r="L65" i="85"/>
  <c r="L62" i="85"/>
  <c r="K60" i="85"/>
  <c r="M60" i="85"/>
  <c r="N60" i="85"/>
  <c r="L61" i="85"/>
  <c r="L59" i="85"/>
  <c r="L58" i="85"/>
  <c r="L57" i="85"/>
  <c r="L56" i="85"/>
  <c r="L55" i="85"/>
  <c r="L54" i="85"/>
  <c r="L53" i="85"/>
  <c r="L52" i="85"/>
  <c r="L51" i="85"/>
  <c r="L50" i="85"/>
  <c r="G49" i="85"/>
  <c r="K46" i="85"/>
  <c r="K45" i="85" s="1"/>
  <c r="M46" i="85"/>
  <c r="M45" i="85" s="1"/>
  <c r="N46" i="85"/>
  <c r="N45" i="85" s="1"/>
  <c r="O46" i="85"/>
  <c r="O45" i="85" s="1"/>
  <c r="L47" i="85"/>
  <c r="L46" i="85" s="1"/>
  <c r="L45" i="85" s="1"/>
  <c r="L44" i="85"/>
  <c r="L42" i="85"/>
  <c r="L40" i="85"/>
  <c r="L35" i="85" s="1"/>
  <c r="L31" i="85"/>
  <c r="N29" i="85"/>
  <c r="N28" i="85" s="1"/>
  <c r="O29" i="85"/>
  <c r="O28" i="85" s="1"/>
  <c r="K29" i="85"/>
  <c r="K28" i="85" s="1"/>
  <c r="M29" i="85"/>
  <c r="M28" i="85" s="1"/>
  <c r="L30" i="85"/>
  <c r="L29" i="85" s="1"/>
  <c r="L27" i="85"/>
  <c r="L26" i="85" s="1"/>
  <c r="K24" i="85"/>
  <c r="M24" i="85"/>
  <c r="N24" i="85"/>
  <c r="O24" i="85"/>
  <c r="L25" i="85"/>
  <c r="L24" i="85" s="1"/>
  <c r="L22" i="85"/>
  <c r="L21" i="85"/>
  <c r="L20" i="85"/>
  <c r="L19" i="85"/>
  <c r="T120" i="85"/>
  <c r="T114" i="85"/>
  <c r="U107" i="85"/>
  <c r="V107" i="85"/>
  <c r="W107" i="85"/>
  <c r="X107" i="85"/>
  <c r="Y107" i="85"/>
  <c r="T108" i="85"/>
  <c r="T106" i="85"/>
  <c r="H101" i="85"/>
  <c r="I101" i="85"/>
  <c r="J101" i="85"/>
  <c r="K101" i="85"/>
  <c r="M101" i="85"/>
  <c r="N101" i="85"/>
  <c r="O101" i="85"/>
  <c r="Q101" i="85"/>
  <c r="U101" i="85"/>
  <c r="V101" i="85"/>
  <c r="W101" i="85"/>
  <c r="X101" i="85"/>
  <c r="Y101" i="85"/>
  <c r="H98" i="85"/>
  <c r="I98" i="85"/>
  <c r="J98" i="85"/>
  <c r="K98" i="85"/>
  <c r="M98" i="85"/>
  <c r="N98" i="85"/>
  <c r="O98" i="85"/>
  <c r="U98" i="85"/>
  <c r="V98" i="85"/>
  <c r="W98" i="85"/>
  <c r="X98" i="85"/>
  <c r="Y98" i="85"/>
  <c r="H96" i="85"/>
  <c r="I96" i="85"/>
  <c r="J96" i="85"/>
  <c r="K96" i="85"/>
  <c r="M96" i="85"/>
  <c r="N96" i="85"/>
  <c r="O96" i="85"/>
  <c r="Q96" i="85"/>
  <c r="R96" i="85"/>
  <c r="U96" i="85"/>
  <c r="V96" i="85"/>
  <c r="W96" i="85"/>
  <c r="X96" i="85"/>
  <c r="Y96" i="85"/>
  <c r="Z96" i="85"/>
  <c r="T95" i="85"/>
  <c r="H92" i="85"/>
  <c r="I92" i="85"/>
  <c r="J92" i="85"/>
  <c r="K92" i="85"/>
  <c r="M92" i="85"/>
  <c r="N92" i="85"/>
  <c r="O92" i="85"/>
  <c r="U92" i="85"/>
  <c r="V92" i="85"/>
  <c r="W92" i="85"/>
  <c r="X92" i="85"/>
  <c r="Y92" i="85"/>
  <c r="G92" i="85"/>
  <c r="H89" i="85"/>
  <c r="I89" i="85"/>
  <c r="J89" i="85"/>
  <c r="K89" i="85"/>
  <c r="M89" i="85"/>
  <c r="N89" i="85"/>
  <c r="O89" i="85"/>
  <c r="U89" i="85"/>
  <c r="V89" i="85"/>
  <c r="W89" i="85"/>
  <c r="X89" i="85"/>
  <c r="Y89" i="85"/>
  <c r="H87" i="85"/>
  <c r="I87" i="85"/>
  <c r="J87" i="85"/>
  <c r="K87" i="85"/>
  <c r="M87" i="85"/>
  <c r="N87" i="85"/>
  <c r="O87" i="85"/>
  <c r="U87" i="85"/>
  <c r="V87" i="85"/>
  <c r="W87" i="85"/>
  <c r="X87" i="85"/>
  <c r="Y87" i="85"/>
  <c r="Z87" i="85"/>
  <c r="H83" i="85"/>
  <c r="I83" i="85"/>
  <c r="J83" i="85"/>
  <c r="K83" i="85"/>
  <c r="M83" i="85"/>
  <c r="N83" i="85"/>
  <c r="O83" i="85"/>
  <c r="R83" i="85"/>
  <c r="U83" i="85"/>
  <c r="V83" i="85"/>
  <c r="W83" i="85"/>
  <c r="X83" i="85"/>
  <c r="Y83" i="85"/>
  <c r="Z83" i="85"/>
  <c r="H85" i="85"/>
  <c r="I85" i="85"/>
  <c r="J85" i="85"/>
  <c r="K85" i="85"/>
  <c r="M85" i="85"/>
  <c r="N85" i="85"/>
  <c r="O85" i="85"/>
  <c r="U85" i="85"/>
  <c r="V85" i="85"/>
  <c r="W85" i="85"/>
  <c r="X85" i="85"/>
  <c r="Y85" i="85"/>
  <c r="Z85" i="85"/>
  <c r="U80" i="85"/>
  <c r="V80" i="85"/>
  <c r="W80" i="85"/>
  <c r="X80" i="85"/>
  <c r="Y80" i="85"/>
  <c r="N23" i="85" l="1"/>
  <c r="P47" i="85"/>
  <c r="P46" i="85" s="1"/>
  <c r="P45" i="85" s="1"/>
  <c r="P62" i="85"/>
  <c r="P95" i="85"/>
  <c r="P112" i="85"/>
  <c r="S34" i="85"/>
  <c r="S49" i="85"/>
  <c r="S103" i="85"/>
  <c r="P55" i="85"/>
  <c r="P68" i="85"/>
  <c r="P86" i="85"/>
  <c r="P85" i="85" s="1"/>
  <c r="P105" i="85"/>
  <c r="P123" i="85"/>
  <c r="P75" i="85"/>
  <c r="P74" i="85" s="1"/>
  <c r="S60" i="85"/>
  <c r="S107" i="85"/>
  <c r="P122" i="85"/>
  <c r="P121" i="85" s="1"/>
  <c r="L28" i="85"/>
  <c r="L107" i="85"/>
  <c r="M23" i="85"/>
  <c r="L18" i="85"/>
  <c r="L17" i="85" s="1"/>
  <c r="K23" i="85"/>
  <c r="R14" i="85"/>
  <c r="R13" i="85" s="1"/>
  <c r="R18" i="85"/>
  <c r="R17" i="85" s="1"/>
  <c r="P31" i="85"/>
  <c r="P42" i="85"/>
  <c r="P52" i="85"/>
  <c r="P53" i="85"/>
  <c r="P57" i="85"/>
  <c r="P59" i="85"/>
  <c r="R60" i="85"/>
  <c r="P64" i="85"/>
  <c r="P66" i="85"/>
  <c r="P70" i="85"/>
  <c r="P72" i="85"/>
  <c r="P82" i="85"/>
  <c r="P90" i="85"/>
  <c r="P93" i="85"/>
  <c r="P99" i="85"/>
  <c r="P102" i="85"/>
  <c r="P101" i="85" s="1"/>
  <c r="R103" i="85"/>
  <c r="P108" i="85"/>
  <c r="P110" i="85"/>
  <c r="P114" i="85"/>
  <c r="P119" i="85"/>
  <c r="P126" i="85"/>
  <c r="Q121" i="85"/>
  <c r="L80" i="85"/>
  <c r="S14" i="85"/>
  <c r="S13" i="85" s="1"/>
  <c r="Q46" i="85"/>
  <c r="Q45" i="85" s="1"/>
  <c r="Q85" i="85"/>
  <c r="Q74" i="85"/>
  <c r="P19" i="85"/>
  <c r="P21" i="85"/>
  <c r="Q23" i="85"/>
  <c r="P40" i="85"/>
  <c r="P35" i="85" s="1"/>
  <c r="Q49" i="85"/>
  <c r="P51" i="85"/>
  <c r="P54" i="85"/>
  <c r="P56" i="85"/>
  <c r="P58" i="85"/>
  <c r="Q60" i="85"/>
  <c r="P63" i="85"/>
  <c r="P65" i="85"/>
  <c r="P67" i="85"/>
  <c r="P69" i="85"/>
  <c r="P71" i="85"/>
  <c r="P73" i="85"/>
  <c r="P77" i="85"/>
  <c r="P76" i="85" s="1"/>
  <c r="Q80" i="85"/>
  <c r="P88" i="85"/>
  <c r="P87" i="85" s="1"/>
  <c r="P91" i="85"/>
  <c r="P94" i="85"/>
  <c r="P97" i="85"/>
  <c r="P96" i="85" s="1"/>
  <c r="Q98" i="85"/>
  <c r="Q103" i="85"/>
  <c r="P106" i="85"/>
  <c r="P109" i="85"/>
  <c r="P111" i="85"/>
  <c r="P113" i="85"/>
  <c r="P117" i="85"/>
  <c r="P116" i="85" s="1"/>
  <c r="P120" i="85"/>
  <c r="L14" i="85"/>
  <c r="L13" i="85" s="1"/>
  <c r="L23" i="85"/>
  <c r="L49" i="85"/>
  <c r="L103" i="85"/>
  <c r="Q14" i="85"/>
  <c r="Q13" i="85" s="1"/>
  <c r="R34" i="85"/>
  <c r="S23" i="85"/>
  <c r="P25" i="85"/>
  <c r="P24" i="85" s="1"/>
  <c r="P44" i="85"/>
  <c r="P61" i="85"/>
  <c r="P84" i="85"/>
  <c r="P83" i="85" s="1"/>
  <c r="P104" i="85"/>
  <c r="R23" i="85"/>
  <c r="O23" i="85"/>
  <c r="P20" i="85"/>
  <c r="P22" i="85"/>
  <c r="Q107" i="85"/>
  <c r="P27" i="85"/>
  <c r="P26" i="85" s="1"/>
  <c r="P30" i="85"/>
  <c r="P50" i="85"/>
  <c r="R49" i="85"/>
  <c r="N48" i="85"/>
  <c r="P79" i="85"/>
  <c r="P78" i="85" s="1"/>
  <c r="Q18" i="85"/>
  <c r="Q17" i="85" s="1"/>
  <c r="R80" i="85"/>
  <c r="Q35" i="85"/>
  <c r="Q34" i="85" s="1"/>
  <c r="P81" i="85"/>
  <c r="P100" i="85"/>
  <c r="M48" i="85"/>
  <c r="Q92" i="85"/>
  <c r="Q87" i="85"/>
  <c r="Q28" i="85"/>
  <c r="R29" i="85"/>
  <c r="O48" i="85"/>
  <c r="L125" i="85"/>
  <c r="L124" i="85" s="1"/>
  <c r="L92" i="85"/>
  <c r="P80" i="85" l="1"/>
  <c r="P103" i="85"/>
  <c r="P60" i="85"/>
  <c r="P14" i="85"/>
  <c r="P13" i="85" s="1"/>
  <c r="P18" i="85"/>
  <c r="P17" i="85" s="1"/>
  <c r="Q48" i="85"/>
  <c r="P49" i="85"/>
  <c r="P23" i="85"/>
  <c r="R28" i="85"/>
  <c r="I9" i="49" l="1"/>
  <c r="L9" i="49"/>
  <c r="O9" i="49"/>
  <c r="P9" i="49"/>
  <c r="R9" i="49"/>
  <c r="S9" i="49"/>
  <c r="W9" i="49"/>
  <c r="Z9" i="49"/>
  <c r="J9" i="49" l="1"/>
  <c r="K9" i="49"/>
  <c r="U9" i="49"/>
  <c r="V9" i="49"/>
  <c r="Q9" i="49"/>
  <c r="X9" i="49"/>
  <c r="Y9" i="49"/>
  <c r="H9" i="49"/>
  <c r="N9" i="49"/>
  <c r="U76" i="85"/>
  <c r="V76" i="85"/>
  <c r="W76" i="85"/>
  <c r="X76" i="85"/>
  <c r="Y76" i="85"/>
  <c r="T62" i="85"/>
  <c r="T64" i="85"/>
  <c r="T65" i="85"/>
  <c r="T66" i="85"/>
  <c r="T67" i="85"/>
  <c r="T68" i="85"/>
  <c r="T69" i="85"/>
  <c r="T71" i="85"/>
  <c r="T72" i="85"/>
  <c r="T73" i="85"/>
  <c r="T75" i="85"/>
  <c r="T61" i="85"/>
  <c r="U60" i="85"/>
  <c r="V60" i="85"/>
  <c r="U49" i="85"/>
  <c r="V49" i="85"/>
  <c r="W49" i="85"/>
  <c r="X49" i="85"/>
  <c r="Y49" i="85"/>
  <c r="T40" i="85"/>
  <c r="U34" i="85"/>
  <c r="T47" i="85"/>
  <c r="T46" i="85" s="1"/>
  <c r="T45" i="85" s="1"/>
  <c r="U46" i="85"/>
  <c r="V46" i="85"/>
  <c r="V45" i="85" s="1"/>
  <c r="W46" i="85"/>
  <c r="W45" i="85" s="1"/>
  <c r="X46" i="85"/>
  <c r="Y46" i="85"/>
  <c r="Y45" i="85" s="1"/>
  <c r="Z46" i="85"/>
  <c r="Z45" i="85" s="1"/>
  <c r="U45" i="85"/>
  <c r="X45" i="85"/>
  <c r="U29" i="85"/>
  <c r="U28" i="85" s="1"/>
  <c r="V29" i="85"/>
  <c r="V28" i="85" s="1"/>
  <c r="W29" i="85"/>
  <c r="W28" i="85" s="1"/>
  <c r="X29" i="85"/>
  <c r="X28" i="85" s="1"/>
  <c r="Y29" i="85"/>
  <c r="Y28" i="85"/>
  <c r="U24" i="85"/>
  <c r="V24" i="85"/>
  <c r="W24" i="85"/>
  <c r="X24" i="85"/>
  <c r="Y24" i="85"/>
  <c r="U26" i="85"/>
  <c r="V26" i="85"/>
  <c r="W26" i="85"/>
  <c r="X26" i="85"/>
  <c r="Y26" i="85"/>
  <c r="Z26" i="85"/>
  <c r="U18" i="85"/>
  <c r="U17" i="85" s="1"/>
  <c r="V18" i="85"/>
  <c r="V17" i="85" s="1"/>
  <c r="W18" i="85"/>
  <c r="W17" i="85" s="1"/>
  <c r="X18" i="85"/>
  <c r="X17" i="85" s="1"/>
  <c r="Y18" i="85"/>
  <c r="Y17" i="85" s="1"/>
  <c r="T22" i="85"/>
  <c r="T19" i="85"/>
  <c r="U14" i="85"/>
  <c r="U13" i="85" s="1"/>
  <c r="V14" i="85"/>
  <c r="V13" i="85" s="1"/>
  <c r="W14" i="85"/>
  <c r="W13" i="85" s="1"/>
  <c r="X14" i="85"/>
  <c r="X13" i="85" s="1"/>
  <c r="Y14" i="85"/>
  <c r="Y13" i="85" s="1"/>
  <c r="Z14" i="85"/>
  <c r="Z13" i="85" s="1"/>
  <c r="L11" i="81" l="1"/>
  <c r="L10" i="81" s="1"/>
  <c r="C11" i="30"/>
  <c r="C10" i="30" s="1"/>
  <c r="E9" i="49"/>
  <c r="M9" i="49"/>
  <c r="W23" i="85"/>
  <c r="X23" i="85"/>
  <c r="V23" i="85"/>
  <c r="G9" i="49"/>
  <c r="Y23" i="85"/>
  <c r="U23" i="85"/>
  <c r="T9" i="49"/>
  <c r="J94" i="81"/>
  <c r="C94" i="81" s="1"/>
  <c r="F9" i="49"/>
  <c r="G118" i="85"/>
  <c r="H118" i="85"/>
  <c r="I118" i="85"/>
  <c r="J118" i="85"/>
  <c r="K118" i="85"/>
  <c r="L118" i="85"/>
  <c r="L115" i="85" s="1"/>
  <c r="M118" i="85"/>
  <c r="M115" i="85" s="1"/>
  <c r="M12" i="85" s="1"/>
  <c r="N118" i="85"/>
  <c r="N115" i="85" s="1"/>
  <c r="O118" i="85"/>
  <c r="O115" i="85" s="1"/>
  <c r="O12" i="85" s="1"/>
  <c r="Q118" i="85"/>
  <c r="Q115" i="85" s="1"/>
  <c r="Q12" i="85" s="1"/>
  <c r="R118" i="85"/>
  <c r="R115" i="85" s="1"/>
  <c r="S118" i="85"/>
  <c r="S115" i="85" s="1"/>
  <c r="U118" i="85"/>
  <c r="U115" i="85" s="1"/>
  <c r="V118" i="85"/>
  <c r="W118" i="85"/>
  <c r="X118" i="85"/>
  <c r="Y118" i="85"/>
  <c r="V125" i="85"/>
  <c r="V124" i="85"/>
  <c r="V121" i="85"/>
  <c r="V116" i="85"/>
  <c r="V103" i="85"/>
  <c r="V78" i="85"/>
  <c r="V74" i="85"/>
  <c r="V43" i="85"/>
  <c r="V41" i="85"/>
  <c r="V35" i="85"/>
  <c r="Y125" i="85"/>
  <c r="Y124" i="85" s="1"/>
  <c r="X125" i="85"/>
  <c r="X124" i="85" s="1"/>
  <c r="W125" i="85"/>
  <c r="W124" i="85" s="1"/>
  <c r="Y121" i="85"/>
  <c r="X121" i="85"/>
  <c r="W121" i="85"/>
  <c r="Y116" i="85"/>
  <c r="X116" i="85"/>
  <c r="W116" i="85"/>
  <c r="Y103" i="85"/>
  <c r="X103" i="85"/>
  <c r="W103" i="85"/>
  <c r="Y78" i="85"/>
  <c r="X78" i="85"/>
  <c r="W78" i="85"/>
  <c r="Y74" i="85"/>
  <c r="X74" i="85"/>
  <c r="W74" i="85"/>
  <c r="Y60" i="85"/>
  <c r="X60" i="85"/>
  <c r="W60" i="85"/>
  <c r="Y43" i="85"/>
  <c r="X43" i="85"/>
  <c r="W43" i="85"/>
  <c r="Y41" i="85"/>
  <c r="X41" i="85"/>
  <c r="W41" i="85"/>
  <c r="Y35" i="85"/>
  <c r="X35" i="85"/>
  <c r="W35" i="85"/>
  <c r="N43" i="85"/>
  <c r="N41" i="85"/>
  <c r="K124" i="85"/>
  <c r="J124" i="85"/>
  <c r="I125" i="85"/>
  <c r="I124" i="85" s="1"/>
  <c r="H125" i="85"/>
  <c r="H124" i="85" s="1"/>
  <c r="G125" i="85"/>
  <c r="G124" i="85" s="1"/>
  <c r="G121" i="85"/>
  <c r="K116" i="85"/>
  <c r="J116" i="85"/>
  <c r="I116" i="85"/>
  <c r="H116" i="85"/>
  <c r="G116" i="85"/>
  <c r="K107" i="85"/>
  <c r="J107" i="85"/>
  <c r="I107" i="85"/>
  <c r="H107" i="85"/>
  <c r="G107" i="85"/>
  <c r="K103" i="85"/>
  <c r="J103" i="85"/>
  <c r="I103" i="85"/>
  <c r="H103" i="85"/>
  <c r="G103" i="85"/>
  <c r="G101" i="85"/>
  <c r="G98" i="85"/>
  <c r="G96" i="85"/>
  <c r="G89" i="85"/>
  <c r="G87" i="85"/>
  <c r="G85" i="85"/>
  <c r="G83" i="85"/>
  <c r="G80" i="85"/>
  <c r="J78" i="85"/>
  <c r="I78" i="85"/>
  <c r="H78" i="85"/>
  <c r="G78" i="85"/>
  <c r="J76" i="85"/>
  <c r="I76" i="85"/>
  <c r="H76" i="85"/>
  <c r="G76" i="85"/>
  <c r="J74" i="85"/>
  <c r="I74" i="85"/>
  <c r="H74" i="85"/>
  <c r="G74" i="85"/>
  <c r="J60" i="85"/>
  <c r="I60" i="85"/>
  <c r="H60" i="85"/>
  <c r="G60" i="85"/>
  <c r="J46" i="85"/>
  <c r="J45" i="85" s="1"/>
  <c r="I46" i="85"/>
  <c r="I45" i="85" s="1"/>
  <c r="H46" i="85"/>
  <c r="H45" i="85" s="1"/>
  <c r="G46" i="85"/>
  <c r="G45" i="85" s="1"/>
  <c r="K43" i="85"/>
  <c r="J43" i="85"/>
  <c r="I43" i="85"/>
  <c r="H43" i="85"/>
  <c r="G43" i="85"/>
  <c r="K41" i="85"/>
  <c r="J41" i="85"/>
  <c r="I41" i="85"/>
  <c r="H41" i="85"/>
  <c r="G41" i="85"/>
  <c r="J29" i="85"/>
  <c r="J28" i="85" s="1"/>
  <c r="H29" i="85"/>
  <c r="H28" i="85" s="1"/>
  <c r="G29" i="85"/>
  <c r="G28" i="85" s="1"/>
  <c r="I26" i="85"/>
  <c r="H26" i="85"/>
  <c r="G26" i="85"/>
  <c r="J24" i="85"/>
  <c r="J23" i="85" s="1"/>
  <c r="I24" i="85"/>
  <c r="H24" i="85"/>
  <c r="G24" i="85"/>
  <c r="J18" i="85"/>
  <c r="J17" i="85" s="1"/>
  <c r="I18" i="85"/>
  <c r="I17" i="85" s="1"/>
  <c r="H18" i="85"/>
  <c r="H17" i="85" s="1"/>
  <c r="G18" i="85"/>
  <c r="G17" i="85" s="1"/>
  <c r="K14" i="85"/>
  <c r="K13" i="85" s="1"/>
  <c r="J14" i="85"/>
  <c r="J13" i="85" s="1"/>
  <c r="I14" i="85"/>
  <c r="I13" i="85" s="1"/>
  <c r="H14" i="85"/>
  <c r="H13" i="85" s="1"/>
  <c r="G14" i="85"/>
  <c r="G13" i="85" s="1"/>
  <c r="Y34" i="85" l="1"/>
  <c r="I23" i="85"/>
  <c r="D9" i="49"/>
  <c r="K11" i="81"/>
  <c r="J11" i="81" s="1"/>
  <c r="J10" i="81" s="1"/>
  <c r="F10" i="30"/>
  <c r="H34" i="85"/>
  <c r="W34" i="85"/>
  <c r="I115" i="85"/>
  <c r="X34" i="85"/>
  <c r="U12" i="85"/>
  <c r="K34" i="85"/>
  <c r="N34" i="85"/>
  <c r="N12" i="85" s="1"/>
  <c r="G48" i="85"/>
  <c r="J34" i="85"/>
  <c r="V48" i="85"/>
  <c r="I34" i="85"/>
  <c r="H48" i="85"/>
  <c r="K115" i="85"/>
  <c r="W48" i="85"/>
  <c r="W115" i="85"/>
  <c r="J48" i="85"/>
  <c r="X48" i="85"/>
  <c r="Y48" i="85"/>
  <c r="Y115" i="85"/>
  <c r="T74" i="85"/>
  <c r="J115" i="85"/>
  <c r="I48" i="85"/>
  <c r="G34" i="85"/>
  <c r="G23" i="85"/>
  <c r="K48" i="85"/>
  <c r="G115" i="85"/>
  <c r="V34" i="85"/>
  <c r="H23" i="85"/>
  <c r="H115" i="85"/>
  <c r="V115" i="85"/>
  <c r="X115" i="85"/>
  <c r="C11" i="81" l="1"/>
  <c r="C10" i="81" s="1"/>
  <c r="K10" i="81"/>
  <c r="W12" i="85"/>
  <c r="C9" i="49"/>
  <c r="K12" i="85"/>
  <c r="I12" i="85"/>
  <c r="H12" i="85"/>
  <c r="X12" i="85"/>
  <c r="T48" i="85"/>
  <c r="V12" i="85"/>
  <c r="J12" i="85"/>
  <c r="G12" i="85"/>
  <c r="A13" i="82" l="1"/>
  <c r="A14" i="82" s="1"/>
  <c r="A15" i="82" s="1"/>
  <c r="A16" i="82" s="1"/>
  <c r="A17" i="82" s="1"/>
  <c r="A18" i="82" s="1"/>
  <c r="A19" i="82" s="1"/>
  <c r="A20" i="82" s="1"/>
  <c r="A21" i="82" s="1"/>
  <c r="C14" i="82"/>
  <c r="A22" i="82" l="1"/>
  <c r="A23" i="82" s="1"/>
  <c r="A24" i="82" s="1"/>
  <c r="A25" i="82" s="1"/>
  <c r="A26" i="82" s="1"/>
  <c r="A27" i="82" s="1"/>
  <c r="A28" i="82" s="1"/>
  <c r="A29" i="82" s="1"/>
  <c r="A30" i="82" s="1"/>
  <c r="A31" i="82" s="1"/>
  <c r="A32" i="82" s="1"/>
  <c r="A33" i="82" s="1"/>
  <c r="A34" i="82" s="1"/>
  <c r="T126" i="85" l="1"/>
  <c r="T125" i="85"/>
  <c r="T124" i="85"/>
  <c r="T123" i="85"/>
  <c r="T122" i="85"/>
  <c r="T121" i="85"/>
  <c r="T117" i="85"/>
  <c r="T116" i="85"/>
  <c r="T111" i="85"/>
  <c r="T103" i="85"/>
  <c r="T97" i="85"/>
  <c r="T96" i="85" s="1"/>
  <c r="T90" i="85"/>
  <c r="T88" i="85"/>
  <c r="T87" i="85" s="1"/>
  <c r="T86" i="85"/>
  <c r="T85" i="85" s="1"/>
  <c r="T84" i="85"/>
  <c r="T83" i="85" s="1"/>
  <c r="T81" i="85"/>
  <c r="T79" i="85"/>
  <c r="T78" i="85"/>
  <c r="T59" i="85"/>
  <c r="T58" i="85"/>
  <c r="T57" i="85"/>
  <c r="T56" i="85"/>
  <c r="T55" i="85"/>
  <c r="T53" i="85"/>
  <c r="T52" i="85"/>
  <c r="T51" i="85"/>
  <c r="T50" i="85"/>
  <c r="T44" i="85"/>
  <c r="T43" i="85" s="1"/>
  <c r="T42" i="85"/>
  <c r="T41" i="85"/>
  <c r="T35" i="85"/>
  <c r="T27" i="85"/>
  <c r="T26" i="85" s="1"/>
  <c r="L89" i="85"/>
  <c r="L43" i="85"/>
  <c r="L34" i="85" s="1"/>
  <c r="Z119" i="85"/>
  <c r="Z113" i="85"/>
  <c r="T113" i="85" s="1"/>
  <c r="Z110" i="85"/>
  <c r="T110" i="85" s="1"/>
  <c r="Z105" i="85"/>
  <c r="T105" i="85" s="1"/>
  <c r="Z102" i="85"/>
  <c r="Z94" i="85"/>
  <c r="T94" i="85" s="1"/>
  <c r="Z91" i="85"/>
  <c r="Z82" i="85"/>
  <c r="Z63" i="85"/>
  <c r="T63" i="85" s="1"/>
  <c r="Z54" i="85"/>
  <c r="Z43" i="85"/>
  <c r="Z34" i="85" s="1"/>
  <c r="Z30" i="85" s="1"/>
  <c r="P43" i="85"/>
  <c r="P34" i="85" s="1"/>
  <c r="P29" i="85"/>
  <c r="M11" i="82"/>
  <c r="E11" i="82"/>
  <c r="F11" i="82"/>
  <c r="G11" i="82"/>
  <c r="H11" i="82"/>
  <c r="I11" i="82"/>
  <c r="J11" i="82"/>
  <c r="N11" i="82"/>
  <c r="O11" i="82"/>
  <c r="D11" i="82"/>
  <c r="Z109" i="85" l="1"/>
  <c r="T34" i="85"/>
  <c r="L11" i="82"/>
  <c r="T119" i="85"/>
  <c r="T118" i="85" s="1"/>
  <c r="T115" i="85" s="1"/>
  <c r="Z118" i="85"/>
  <c r="Z115" i="85" s="1"/>
  <c r="Z112" i="85" s="1"/>
  <c r="T112" i="85" s="1"/>
  <c r="K34" i="82" s="1"/>
  <c r="T109" i="85"/>
  <c r="T107" i="85" s="1"/>
  <c r="Z107" i="85"/>
  <c r="Z104" i="85" s="1"/>
  <c r="T104" i="85" s="1"/>
  <c r="T14" i="85"/>
  <c r="T13" i="85" s="1"/>
  <c r="T102" i="85"/>
  <c r="T101" i="85" s="1"/>
  <c r="Z101" i="85"/>
  <c r="Z100" i="85" s="1"/>
  <c r="T100" i="85" s="1"/>
  <c r="T91" i="85"/>
  <c r="T89" i="85" s="1"/>
  <c r="Z89" i="85"/>
  <c r="Z49" i="85"/>
  <c r="T54" i="85"/>
  <c r="T49" i="85" s="1"/>
  <c r="P28" i="85"/>
  <c r="P107" i="85"/>
  <c r="P118" i="85"/>
  <c r="P115" i="85" s="1"/>
  <c r="L60" i="85"/>
  <c r="T82" i="85"/>
  <c r="T80" i="85" s="1"/>
  <c r="Z80" i="85"/>
  <c r="Z77" i="85" s="1"/>
  <c r="T77" i="85" s="1"/>
  <c r="T76" i="85" s="1"/>
  <c r="T30" i="85"/>
  <c r="T29" i="85" s="1"/>
  <c r="T28" i="85" s="1"/>
  <c r="Z29" i="85"/>
  <c r="Z28" i="85" s="1"/>
  <c r="Z93" i="85"/>
  <c r="T93" i="85" s="1"/>
  <c r="T92" i="85" s="1"/>
  <c r="L98" i="85"/>
  <c r="P98" i="85"/>
  <c r="R98" i="85"/>
  <c r="S92" i="85"/>
  <c r="S89" i="85" s="1"/>
  <c r="S98" i="85"/>
  <c r="C34" i="82" l="1"/>
  <c r="K11" i="82"/>
  <c r="L48" i="85"/>
  <c r="Z99" i="85"/>
  <c r="Z98" i="85" s="1"/>
  <c r="S48" i="85"/>
  <c r="T99" i="85"/>
  <c r="T98" i="85" s="1"/>
  <c r="R92" i="85"/>
  <c r="Z76" i="85"/>
  <c r="Z70" i="85" s="1"/>
  <c r="C11" i="82"/>
  <c r="P92" i="85" l="1"/>
  <c r="R89" i="85"/>
  <c r="R48" i="85" s="1"/>
  <c r="T70" i="85"/>
  <c r="T60" i="85" s="1"/>
  <c r="Z25" i="85"/>
  <c r="P89" i="85" l="1"/>
  <c r="P48" i="85" s="1"/>
  <c r="L12" i="85"/>
  <c r="R12" i="85"/>
  <c r="T25" i="85"/>
  <c r="T24" i="85" s="1"/>
  <c r="T23" i="85" s="1"/>
  <c r="Z24" i="85"/>
  <c r="Z23" i="85" s="1"/>
  <c r="Z21" i="85" s="1"/>
  <c r="Z20" i="85" l="1"/>
  <c r="T21" i="85"/>
  <c r="T20" i="85" l="1"/>
  <c r="T18" i="85" s="1"/>
  <c r="Z18" i="85"/>
  <c r="Z17" i="85" l="1"/>
  <c r="Z12" i="85" s="1"/>
  <c r="T17" i="85"/>
  <c r="T12" i="85" s="1"/>
  <c r="S12" i="85" l="1"/>
  <c r="P12" i="85" l="1"/>
  <c r="C36" i="17" l="1"/>
  <c r="C12" i="17" l="1"/>
  <c r="C10" i="17" s="1"/>
  <c r="C32" i="59"/>
  <c r="C27" i="59"/>
  <c r="C9" i="59"/>
  <c r="C18" i="59" l="1"/>
  <c r="C30" i="17"/>
  <c r="C28" i="17" s="1"/>
  <c r="C12" i="59"/>
  <c r="C8" i="59" s="1"/>
  <c r="C21" i="17"/>
  <c r="C17" i="17" s="1"/>
  <c r="C35" i="59" l="1"/>
  <c r="C15" i="27"/>
  <c r="C14" i="27" s="1"/>
  <c r="O14" i="27"/>
  <c r="C26" i="17" l="1"/>
  <c r="D10" i="6" l="1"/>
  <c r="Y12" i="85"/>
  <c r="Y127" i="85"/>
  <c r="T127" i="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HONG HA</author>
  </authors>
  <commentList>
    <comment ref="B55" authorId="0" shapeId="0" xr:uid="{A5CEAE1D-0EEB-44EC-BA4E-CF0652CD32FA}">
      <text>
        <r>
          <rPr>
            <sz val="12"/>
            <color rgb="FF000000"/>
            <rFont val="Calibri"/>
            <family val="1"/>
            <scheme val="minor"/>
          </rPr>
          <t xml:space="preserve">DANH MỤC GIAO THEO QĐ 2104/QĐ-UBND NGÀY 23/9/2022
</t>
        </r>
      </text>
    </comment>
    <comment ref="T306" authorId="1" shapeId="0" xr:uid="{04157CBB-F794-42C0-AD7F-74F1FEC7FA67}">
      <text>
        <r>
          <rPr>
            <b/>
            <sz val="9"/>
            <color indexed="81"/>
            <rFont val="Tahoma"/>
            <family val="2"/>
          </rPr>
          <t>HONG HA:</t>
        </r>
        <r>
          <rPr>
            <sz val="9"/>
            <color indexed="81"/>
            <rFont val="Tahoma"/>
            <family val="2"/>
          </rPr>
          <t xml:space="preserve">
Giảm trưu 4ty 5 ko biết đâu
</t>
        </r>
      </text>
    </comment>
    <comment ref="B376" authorId="0" shapeId="0" xr:uid="{4F073425-5496-4C33-8BE7-1D9CDF37D657}">
      <text>
        <r>
          <rPr>
            <sz val="12"/>
            <color rgb="FF000000"/>
            <rFont val="Calibri"/>
            <family val="1"/>
            <scheme val="minor"/>
          </rPr>
          <t>QĐ: 2188; 22/7/2019 lập BC đề xuất CTĐT</t>
        </r>
      </text>
    </comment>
  </commentList>
</comments>
</file>

<file path=xl/sharedStrings.xml><?xml version="1.0" encoding="utf-8"?>
<sst xmlns="http://schemas.openxmlformats.org/spreadsheetml/2006/main" count="3612" uniqueCount="1647">
  <si>
    <t>Thu NSĐP hưởng từ các khoản thu phân chia</t>
  </si>
  <si>
    <t>Đơn vị: Triệu đồng</t>
  </si>
  <si>
    <t>Số TT</t>
  </si>
  <si>
    <t>Tên đơn vị</t>
  </si>
  <si>
    <t>Dự phòng ngân sách</t>
  </si>
  <si>
    <t>Nội dung</t>
  </si>
  <si>
    <t>TỔNG CHI NSĐP</t>
  </si>
  <si>
    <t>Hội cựu thanh niên xung phong</t>
  </si>
  <si>
    <t>Chi đầu tư phát triển</t>
  </si>
  <si>
    <t xml:space="preserve">Tòa án nhân dân tỉnh </t>
  </si>
  <si>
    <t>Chi thường xuyên</t>
  </si>
  <si>
    <t>Thuế sử dụng đất phi nông nghiệp</t>
  </si>
  <si>
    <t>Thu khác ngân sách (bao gồm cả thu tại xã)</t>
  </si>
  <si>
    <t>Ngân sách huyện</t>
  </si>
  <si>
    <t>Thu từ doanh nghiệp trung ương quản lý</t>
  </si>
  <si>
    <t>Thu từ doanh nghiệp địa phương quản lý</t>
  </si>
  <si>
    <t>Thu từ khu vực kinh tế ngoài quốc doanh</t>
  </si>
  <si>
    <t>Thu từ hoạt động xổ số kiến thiết</t>
  </si>
  <si>
    <t xml:space="preserve">Hội khuyến học </t>
  </si>
  <si>
    <t>Hội nạn nhân chất độc da cam/dioxin</t>
  </si>
  <si>
    <t>Thu bổ sung từ ngân sách cấp tỉnh</t>
  </si>
  <si>
    <t>Hội khác hoạt động trong phạm vi địa phương</t>
  </si>
  <si>
    <t>III</t>
  </si>
  <si>
    <t>IV</t>
  </si>
  <si>
    <t>V</t>
  </si>
  <si>
    <t>VI</t>
  </si>
  <si>
    <t>VII</t>
  </si>
  <si>
    <t>Tổng số</t>
  </si>
  <si>
    <t>SN kh¸c</t>
  </si>
  <si>
    <t>NGÂN SÁCH CẤP TỈNH</t>
  </si>
  <si>
    <t>Thuế bảo vệ môi trường</t>
  </si>
  <si>
    <t>Chi chuyển nguồn sang năm sau</t>
  </si>
  <si>
    <t>TỔNG NGUỒN THU NSĐP</t>
  </si>
  <si>
    <t>Thu NSĐP được hưởng theo phân cấp</t>
  </si>
  <si>
    <t>Thu NSĐP được hưởng 100%</t>
  </si>
  <si>
    <t>Tổng chi cân đối NSĐP</t>
  </si>
  <si>
    <t>Chi các chương trình mục tiêu quốc gia</t>
  </si>
  <si>
    <t>CHI TRẢ NỢ GỐC CỦA NSĐP</t>
  </si>
  <si>
    <t>Từ nguồn vay để trả nợ gốc</t>
  </si>
  <si>
    <t>TỔNG MỨC VAY CỦA NSĐP</t>
  </si>
  <si>
    <t>Vay để bù đắp bội chi</t>
  </si>
  <si>
    <t>Sự nghiệp đảm bảo xã hội</t>
  </si>
  <si>
    <t>D</t>
  </si>
  <si>
    <t>Sở Y tế</t>
  </si>
  <si>
    <t>Thu bổ sung có mục tiêu</t>
  </si>
  <si>
    <t>nghÒ</t>
  </si>
  <si>
    <t>häc</t>
  </si>
  <si>
    <t>tin</t>
  </si>
  <si>
    <t>thao</t>
  </si>
  <si>
    <t>II</t>
  </si>
  <si>
    <t>Phí bảo vệ môi trường đối với khai thác khoáng sản</t>
  </si>
  <si>
    <t>Sở Nội vụ và các đơn vị trực thuộc</t>
  </si>
  <si>
    <t>Liên hiệp các hội khoa học kỹ thuật tỉnh</t>
  </si>
  <si>
    <t>héi</t>
  </si>
  <si>
    <t>TỔNG SỐ</t>
  </si>
  <si>
    <t>A</t>
  </si>
  <si>
    <t>B</t>
  </si>
  <si>
    <t>C</t>
  </si>
  <si>
    <t>Tªn ®¬n vÞ</t>
  </si>
  <si>
    <t>Lệ phí trước bạ</t>
  </si>
  <si>
    <t>Thuế thu nhập cá nhân</t>
  </si>
  <si>
    <t>Thu phí, lệ phí</t>
  </si>
  <si>
    <t>Thu từ doanh nghiệp có vốn đầu tư nước ngoài</t>
  </si>
  <si>
    <t>Hội Luật gia</t>
  </si>
  <si>
    <t>Đơn vị: triệu đồng</t>
  </si>
  <si>
    <t>STT</t>
  </si>
  <si>
    <t>Nội dung các khoản thu</t>
  </si>
  <si>
    <t>lý</t>
  </si>
  <si>
    <t>nghiÖp</t>
  </si>
  <si>
    <t>dôc ®µo</t>
  </si>
  <si>
    <t>v¨n ho¸</t>
  </si>
  <si>
    <t>hµnh</t>
  </si>
  <si>
    <t>kinh tÕ</t>
  </si>
  <si>
    <t>t¹o d¹y</t>
  </si>
  <si>
    <t>Y tÕ</t>
  </si>
  <si>
    <t>khoa</t>
  </si>
  <si>
    <t>th«ng</t>
  </si>
  <si>
    <t xml:space="preserve">thÓ </t>
  </si>
  <si>
    <t>PTTH</t>
  </si>
  <si>
    <t>x·</t>
  </si>
  <si>
    <t>chÝnh</t>
  </si>
  <si>
    <t>Chi thực hiện các chính sách, nhiệm vụ khác của ngân sách cấp tỉnh</t>
  </si>
  <si>
    <t xml:space="preserve">Công an tỉnh </t>
  </si>
  <si>
    <t>Hội người mù</t>
  </si>
  <si>
    <t>Thu tiền sử dụng đất</t>
  </si>
  <si>
    <t>1.1</t>
  </si>
  <si>
    <t>1.2</t>
  </si>
  <si>
    <t>1.3</t>
  </si>
  <si>
    <t>1.4</t>
  </si>
  <si>
    <t>1.5</t>
  </si>
  <si>
    <t>1.6</t>
  </si>
  <si>
    <t>1.7</t>
  </si>
  <si>
    <t>1.8</t>
  </si>
  <si>
    <t>1.9</t>
  </si>
  <si>
    <t>1.10</t>
  </si>
  <si>
    <t>Sở Y tế và các đơn vị trực thuộc</t>
  </si>
  <si>
    <t>Trong đó</t>
  </si>
  <si>
    <t>I</t>
  </si>
  <si>
    <t>Thu tiền cho thuê mặt đất, mặt nước trả tiền hàng năm</t>
  </si>
  <si>
    <t>Chi các Chương trình mục tiêu</t>
  </si>
  <si>
    <t>Tiền thuê đất trả tiền hàng năm</t>
  </si>
  <si>
    <t>Dự toán chi của các cơ quan Đảng cấp tỉnh</t>
  </si>
  <si>
    <t>Thu tiền cấp quyền khai thác khoáng sản, cấp quyền khai thác tài nguyên nước</t>
  </si>
  <si>
    <t>Phí, lệ phí trung ương</t>
  </si>
  <si>
    <t>Phí, lệ phí địa phương</t>
  </si>
  <si>
    <t>Viên kiểm sát nhân dân tỉnh</t>
  </si>
  <si>
    <t>Chi thường xuyên (3)</t>
  </si>
  <si>
    <t>TÊN ĐƠN VỊ</t>
  </si>
  <si>
    <t xml:space="preserve">Hội Nhà báo </t>
  </si>
  <si>
    <t>Vốn trong nước</t>
  </si>
  <si>
    <t>Vốn ngoài nước</t>
  </si>
  <si>
    <t>Đề án, nhiệm vụ khác của tỉnh giai đoạn 2021-2025</t>
  </si>
  <si>
    <t>Đ</t>
  </si>
  <si>
    <t>CHI NGÂN SÁCH CẤP TỈNH THEO LĨNH VỰC</t>
  </si>
  <si>
    <t>Chi bổ sung quỹ dự trữ tài chính</t>
  </si>
  <si>
    <t>Chi tạo nguồn, điều chỉnh tiền lương</t>
  </si>
  <si>
    <t>Ban Quản lý dự án đầu tư xây dựng huyện Lục Yên</t>
  </si>
  <si>
    <t>Ban Quản lý dự án đầu tư xây dựng huyện Mù Cang Chải</t>
  </si>
  <si>
    <t>Ban Quản lý dự án đầu tư xây dựng huyện Trấn Yên</t>
  </si>
  <si>
    <t>Ban Quản lý dự án đầu tư xây dựng huyện Văn Yên</t>
  </si>
  <si>
    <t>Ban Quản lý dự án đầu tư xây dựng huyện Yên Bình</t>
  </si>
  <si>
    <t>Ban Quản lý dự án đầu tư xây dựng thị xã Nghĩa Lộ</t>
  </si>
  <si>
    <t>Bộ Chỉ huy quân sự tỉnh Yên Bái</t>
  </si>
  <si>
    <t>Ban Quản lý dự án đầu tư xây dựng huyện Văn Chấn</t>
  </si>
  <si>
    <t>Ban Quản lý dự án đầu tư xây dựng huyện Trạm Tấu</t>
  </si>
  <si>
    <t>CHI QUỐC PHÒNG</t>
  </si>
  <si>
    <t>CHI AN NINH</t>
  </si>
  <si>
    <t>CHI GIÁO DỤC ĐÀO TẠO VÀ DẠY NGHỀ</t>
  </si>
  <si>
    <t>CHI Y TẾ , DÂN SỐ VÀ GIA ĐÌNH</t>
  </si>
  <si>
    <t>CHI VĂN HÓA THÔNG TIN</t>
  </si>
  <si>
    <t xml:space="preserve">CHI BẢO VỆ MÔI TRƯỜNG </t>
  </si>
  <si>
    <t>CHI CÁC HOẠT ĐỘNG KINH TẾ</t>
  </si>
  <si>
    <t>CHI QLNN, ĐẢNG , ĐOÀN THỂ</t>
  </si>
  <si>
    <t xml:space="preserve">ĐẢM BẢO XÃ HỘI </t>
  </si>
  <si>
    <t>CHI KHOA HỌC VÀ CÔNG NGHỆ</t>
  </si>
  <si>
    <t>CHI PHÁT THANH TRUYỀN HÌNH, THÔNG TẤN</t>
  </si>
  <si>
    <t>CHI THỂ DỤC THỂ THAO</t>
  </si>
  <si>
    <t>Thành phố Yên Bái</t>
  </si>
  <si>
    <t>Thị xã Nghĩa Lộ</t>
  </si>
  <si>
    <t>Huyện Trấn Yên</t>
  </si>
  <si>
    <t>Huyện Yên Bình</t>
  </si>
  <si>
    <t>Huyện Văn Yên</t>
  </si>
  <si>
    <t>Huyện Lục Yên</t>
  </si>
  <si>
    <t>Huyện Văn Chấn</t>
  </si>
  <si>
    <t>Huyện Trạm Tấu</t>
  </si>
  <si>
    <t>Huyện Mù Cang Chải</t>
  </si>
  <si>
    <t xml:space="preserve">TỶ LỆ PHẦN TRĂM (%) CÁC KHOẢN THU PHÂN CHIA </t>
  </si>
  <si>
    <t>(Dự toán đã được Hội đồng nhân dân quyết định)</t>
  </si>
  <si>
    <t>Danh mục dự án</t>
  </si>
  <si>
    <t>Địa điểm xây dựng</t>
  </si>
  <si>
    <t>Năng lực thiết kế</t>
  </si>
  <si>
    <t>Số quyết định; ngày, tháng, năm ban hành</t>
  </si>
  <si>
    <t>Tổng mức đầu tư</t>
  </si>
  <si>
    <t>Trong đó:</t>
  </si>
  <si>
    <t>Ngân sách trung ương</t>
  </si>
  <si>
    <t>TP. Yên Bái</t>
  </si>
  <si>
    <t>H. Trấn Yên</t>
  </si>
  <si>
    <t>T. Yên Bái</t>
  </si>
  <si>
    <t>H. Văn Chấn</t>
  </si>
  <si>
    <t>H. Yên Bình</t>
  </si>
  <si>
    <t>H. Văn Yên</t>
  </si>
  <si>
    <t>Đường Sơn Lương - Nậm Mười - Sùng Đô, huyện Văn Chấn, tỉnh Yên Bái</t>
  </si>
  <si>
    <t>H. Lục Yên</t>
  </si>
  <si>
    <t>Đường nối đường Nguyễn Tất Thành với Trung tâm y tế huyện Yên Bình</t>
  </si>
  <si>
    <t>Hạ tầng cụm công nghiệp Yên Thế, huyện Lục Yên</t>
  </si>
  <si>
    <t>2059/QĐ-UBND ngày 09/9/2016; 2906/QĐ-UBND ngày 25/11/2019</t>
  </si>
  <si>
    <t>H. Mù Cang Chải</t>
  </si>
  <si>
    <t>H. Trạm Tấu</t>
  </si>
  <si>
    <t>TX. Nghĩa Lộ</t>
  </si>
  <si>
    <t>3131/QĐ-UBND ngày 11/12/2020</t>
  </si>
  <si>
    <t>Đường Trung tâm phường Tân An</t>
  </si>
  <si>
    <t>3169/QĐ-UBND ngày 14/12/2020</t>
  </si>
  <si>
    <t>Đường Lâm Giang - Lang Thíp, huyện Văn Yên, tỉnh Yên Bái</t>
  </si>
  <si>
    <t>Đường nối Quốc lộ 37 với đường cao tốc Nội Bài - Lào Cai</t>
  </si>
  <si>
    <t>606/QĐ-UBND ngày 31/3/2016; 387/QĐ-UBND ngày 28/02/2020</t>
  </si>
  <si>
    <t>Sửa chữa, nâng cấp tuyến đường Trạm Tấu (Yên Bái) - Bắc Yên (Sơn La)</t>
  </si>
  <si>
    <t>Dự án "Phát triển tổng hợp các đô thị động lực - Tiểu dự án thành phố Yên Bái"</t>
  </si>
  <si>
    <t xml:space="preserve">Xây dựng cơ sở hạ tầng giao thông liên vùng hỗ trợ phát triển kinh tế xã hội các huyện nghèo tỉnh Yên Bái </t>
  </si>
  <si>
    <t>Cấp điện nông thôn từ lưới điện Quốc gia tỉnh Yên Bái giai đoạn 2014 - 2025</t>
  </si>
  <si>
    <t>Hội trường, nhà làm việc Văn phòng Đoàn đại biểu Quốc hội và Hội đồng nhân dân tỉnh Yên Bái</t>
  </si>
  <si>
    <t>XI</t>
  </si>
  <si>
    <t>CHI TRẢ NỢ LÃI CÁC KHOẢN DO CHÍNH QUYỀN ĐỊA PHƯƠNG VAY</t>
  </si>
  <si>
    <t>CHI BỔ SUNG QUỸ DỰ TRỮ TÀI CHÍNH</t>
  </si>
  <si>
    <t>CHI DỰ PHÒNG NGÂN SÁCH</t>
  </si>
  <si>
    <t>Liên đoàn lao động tỉnh</t>
  </si>
  <si>
    <t>NỘI DUNG</t>
  </si>
  <si>
    <t>Thu từ quỹ dự trữ tài chính</t>
  </si>
  <si>
    <t>Thu kết dư</t>
  </si>
  <si>
    <t>Thu chuyển nguồn từ năm trước chuyển sang</t>
  </si>
  <si>
    <t>Chi trả nợ lãi các khoản do chính quyền địa phương vay</t>
  </si>
  <si>
    <t>Chi các chương trình mục tiêu, nhiệm vụ</t>
  </si>
  <si>
    <t>BỘI CHI NSĐP/BỘI THU NSĐP</t>
  </si>
  <si>
    <t>Từ nguồn bội thu, tăng thu, tiết kiệm chi, kết dư ngân sách cấp tỉnh</t>
  </si>
  <si>
    <t>Vay để trả nợ gốc</t>
  </si>
  <si>
    <t>CÂN ĐỐI NGUỒN THU, CHI DỰ TOÁN NGÂN SÁCH CẤP TỈNH</t>
  </si>
  <si>
    <t>Nguồn thu ngân sách</t>
  </si>
  <si>
    <t>Thu ngân sách được hưởng theo phân cấp</t>
  </si>
  <si>
    <t>Thu bổ sung từ NSTW</t>
  </si>
  <si>
    <t>Thu bổ sung cân đối</t>
  </si>
  <si>
    <t>Chi ngân sách</t>
  </si>
  <si>
    <t>Chi thuộc nhiệm vụ của ngân sách cấp tỉnh</t>
  </si>
  <si>
    <t>chi bổ sung cân đối</t>
  </si>
  <si>
    <t>chi bổ sung có mục tiêu</t>
  </si>
  <si>
    <t>Bội chi NSĐP/Bội thu NSĐP</t>
  </si>
  <si>
    <t>TỔNG THU NGÂN SÁCH NHÀ NƯỚC</t>
  </si>
  <si>
    <t>Thu nội địa</t>
  </si>
  <si>
    <t>TỔNG THU NSNN</t>
  </si>
  <si>
    <t>THU NSĐP</t>
  </si>
  <si>
    <t>Thuế sử dụng đất nông nghiệp</t>
  </si>
  <si>
    <t>Thu từ cho thuê và tiền bán nhà ở thuộc sở hữu nhà nước</t>
  </si>
  <si>
    <t>Thu hồi vốn, thu cổ tức, lợi nhuận được chia của nhà nước và lợi nhuận sau thuế còn lại sau khi trích lập các quỹ của doanh nghiệp nhà nước</t>
  </si>
  <si>
    <t>Thu từ quỹ đất công ích, hoa lợi công sản khác</t>
  </si>
  <si>
    <t>Thu từ dầu thô</t>
  </si>
  <si>
    <t>Thu từ hoạt động xuất, nhập khẩu</t>
  </si>
  <si>
    <t>Thuế giá trị gia tăng thu từ hàng hoá nhập khẩu</t>
  </si>
  <si>
    <t>Thuế xuất khẩu</t>
  </si>
  <si>
    <t>Thuế nhập khẩu</t>
  </si>
  <si>
    <t>Thuế tiêu thụ đặc biệt thu từ hàng hoá nhập khẩu</t>
  </si>
  <si>
    <t>Thuế bảo vệ môi trường thu từ hàng hoá nhập khẩu</t>
  </si>
  <si>
    <t>Thu khác</t>
  </si>
  <si>
    <t>Thu viện trợ</t>
  </si>
  <si>
    <t>Thuế BVMT thu từ hàng hoá sản xuất, kinh doanh trong nước</t>
  </si>
  <si>
    <t>Thuế BVMT thu từ hàng hoá nhập khẩu</t>
  </si>
  <si>
    <t>Phí lệ phí huyện</t>
  </si>
  <si>
    <t>Phí lệ phí xã, phường</t>
  </si>
  <si>
    <t>-</t>
  </si>
  <si>
    <t>NSĐP</t>
  </si>
  <si>
    <t>TỔNG CHI NGÂN SÁCH ĐỊA PHƯƠNG</t>
  </si>
  <si>
    <t>CHI CÂN ĐỐI NGÂN SÁCH ĐỊA PHƯƠNG</t>
  </si>
  <si>
    <t>Chi đầu tư cho các dự án</t>
  </si>
  <si>
    <t>Chi đầu tư phát triển khác</t>
  </si>
  <si>
    <t>Chi giáo dục - đào tạo và dạy nghề</t>
  </si>
  <si>
    <t>Chi khoa học và công nghệ</t>
  </si>
  <si>
    <t>Từ nguồn thu tiền sử dụng đất</t>
  </si>
  <si>
    <t>Từ nguồn thu xổ số kiến thiết</t>
  </si>
  <si>
    <t>Trong đó chia theo lĩnh vực:</t>
  </si>
  <si>
    <t>Trong đó chia theo nguồn vốn:</t>
  </si>
  <si>
    <t>CHI CÁC CHƯƠNG TRÌNH MỤC TIÊU</t>
  </si>
  <si>
    <t>CHI CHUYỂN NGUỒN SANG NĂM SAU</t>
  </si>
  <si>
    <t>Chi y tế, dân số và gia đình</t>
  </si>
  <si>
    <t>Chi văn hoá thông tin</t>
  </si>
  <si>
    <t>Chi phát thanh, truyền hình, thông tấn</t>
  </si>
  <si>
    <t>Chi thể dục thể thao</t>
  </si>
  <si>
    <t>Chi bảo vệ môi trường</t>
  </si>
  <si>
    <t>Chi các hoạt động kinh tế</t>
  </si>
  <si>
    <t>Chi hoạt động của các cơ quan quản lý nhà nước, đảng, đoàn thể</t>
  </si>
  <si>
    <t>DỰ TOÁN</t>
  </si>
  <si>
    <t>Cục Thi hành án dân sự tỉnh</t>
  </si>
  <si>
    <t>CHI TẠO NGUỒN, ĐIỀU CHỈNH TIỀN LƯƠNG</t>
  </si>
  <si>
    <t>TRONG ĐÓ</t>
  </si>
  <si>
    <t>CHI GIAO THÔNG</t>
  </si>
  <si>
    <t>CHI NÔNG NGHIỆP, LÂM NGHIỆP, THUỶ SẢN</t>
  </si>
  <si>
    <t>CHI HOẠT ĐỘNG CỦA CƠ QUAN QLNN, ĐẢNG , ĐOÀN THỂ</t>
  </si>
  <si>
    <t>Công an tỉnh</t>
  </si>
  <si>
    <t>Dự án "Đầu tư xây dựng và phát triển hệ thống cung ứng dịch vụ tuyến cơ sở:</t>
  </si>
  <si>
    <t>Ban QLDA đầu tư xây dựng huyện Yên Bình</t>
  </si>
  <si>
    <t>Ban QLDA đầu tư xây dựng thị xã Nghĩa Lộ</t>
  </si>
  <si>
    <t>Sở Thông tin và truyền thông</t>
  </si>
  <si>
    <t>Ban QLDA đầu tư xây dựng huyện Văn Yên</t>
  </si>
  <si>
    <t>Trung tâm văn hóa, thể thao  huyện Văn Yên</t>
  </si>
  <si>
    <t>CHI BẢO VỆ MÔI TRƯỜNG</t>
  </si>
  <si>
    <t>Ban Quản lý ĐT xây dựng tỉnh Yên Bái</t>
  </si>
  <si>
    <t>Đường nối quốc lộ 32 với đường cao tốc Nội Bài - Lào Cai (IC15)</t>
  </si>
  <si>
    <t>Đường nối Tỉnh lộ 163 với cao tốc Nội Bài - Lào Cai</t>
  </si>
  <si>
    <t>Ban QLDA đầu tư xây dựng các công trình GT tỉnh Yên Bái</t>
  </si>
  <si>
    <t>Đường nối quốc lộ 32C với Quốc lộ 37 và đường Yên Ninh, thành phố Yên Bái tỉnh, Yên Bái</t>
  </si>
  <si>
    <t>Đường nối quốc lộ 32 (thị xã Nghĩa Lộ) với tỉnh lộ 174 (huyện Trạm Tấu), tỉnh Yên Bái</t>
  </si>
  <si>
    <t>Đường nối quốc lộ 37 với Quốc lộ 32C và đường cao tốc Nội Bài - Lào Cai</t>
  </si>
  <si>
    <t>Cải tạo, nâng cấp đường Văn Chấn (Yên Bái) - Yên Lập (Phú Thọ)</t>
  </si>
  <si>
    <t>Cầu Giới Phiên, thành phố Yên Bái</t>
  </si>
  <si>
    <t>Cầu vượt đường sắt khu vực xã An Bình, huyện Văn Yên</t>
  </si>
  <si>
    <t>Nút giao IC13 cao tốc Nội Bài - Lào Cai</t>
  </si>
  <si>
    <t>Đường kết nối Mường La (Sơn La) Than Uyên, Tân Uyên (Lai Châu(, Mù Cang Chải, Văn Chấn, Văn Yên (Yên Bái) với đường cao tốc Nội Bài - Lào Cai</t>
  </si>
  <si>
    <t>Cải tạo đường nối Quốc lộ 37 với cao tốc Nội Bài - Lào Cai (IC15)</t>
  </si>
  <si>
    <t>Sở Tài nguyên và môi trường</t>
  </si>
  <si>
    <t>Dự án tăng cường quản lý đất đai và cơ sở dữ liệu đất đai</t>
  </si>
  <si>
    <t>Sở Kế hoạch và đầu tư</t>
  </si>
  <si>
    <t>Quy hoạch tỉnh Yên Bái thời kỳ 2021 - 2030, tầm nhìn đến năm 2050</t>
  </si>
  <si>
    <t>Ban quản lý các khu công nghiệp tỉnh Yên Bái</t>
  </si>
  <si>
    <t>Dự án ĐTXD hạ tầng công nghiệp Âu Lâu, tỉnh YB</t>
  </si>
  <si>
    <t>Dự án ĐTXD Khu công nghiệp phía Nam tỉnh Yên Bái</t>
  </si>
  <si>
    <t>Ban QLDA đầu tư xây dựng huyện Văn Chấn</t>
  </si>
  <si>
    <t>UBND huyện Trạm Tấu</t>
  </si>
  <si>
    <t>Ban QLDA đầu tư xây dựng huyện Trạm Tấu</t>
  </si>
  <si>
    <t>Đường Bản Mù đi Làng Nhì (đoạn Km6 đi Giàng La Pán), xã Làng Nhì, huyện Trạm Tấu</t>
  </si>
  <si>
    <t>Đường Trạm Tấu - Xà Hồ</t>
  </si>
  <si>
    <t>Ban QLDA đầu tư xây dựng huyện Lục Yên</t>
  </si>
  <si>
    <t>Cải tạo, nâng cấp đường Tân Lĩnh - Tân Lĩnh - Phan Thanh gắn với phát triển du lịch, huyện Lục Yên, tỉnh Yên Bái</t>
  </si>
  <si>
    <t>Ban QLDA đầu tư xây dựng huyện Mù Cang Chải</t>
  </si>
  <si>
    <t xml:space="preserve">Ban QLDA ĐT&amp;XD huyện Trấn Yên </t>
  </si>
  <si>
    <t>Tiểu dự án giải phóng mặt bằng khu, cụm công nghiệp, huyện Trấn Yên</t>
  </si>
  <si>
    <t>Đường nối tỉnh lộ 172 với đường cao tốc Nội Bài - Lào Cai, huyện Trấn Yên</t>
  </si>
  <si>
    <t>Ban QLDA đầu tư xây dựng TP Yên Bái</t>
  </si>
  <si>
    <t xml:space="preserve">Chợ trung tâm km4 thành phố Yên Bái </t>
  </si>
  <si>
    <t>Ban Quản lý Đầu tư XD tỉnh Yên Bái</t>
  </si>
  <si>
    <t>Xây dựng trụ sở các đơn vị trực thuộc Sở Nông nghiệp và Phảt triển nông thôn tỉnh Yên Bái</t>
  </si>
  <si>
    <t>Văn phòng Đoàn đại biểu quốc hội, HĐND và UBND tỉnh</t>
  </si>
  <si>
    <t>Trung tâm điều hành, giám sát, xử lý dữ liệu đô thị thông minh tỉnh Yên Bái</t>
  </si>
  <si>
    <t>CHI PHÍ BẢO ĐẢM XÃ HỘI</t>
  </si>
  <si>
    <t>Sở Lao động, thương binh và xã hội</t>
  </si>
  <si>
    <t>TRONG ĐÓ:</t>
  </si>
  <si>
    <t>CHI GIÁO DỤC - ĐÀO TẠO VÀ DẠY NGHỀ</t>
  </si>
  <si>
    <t>CHI Y TẾ, DÂN SỐ VÀ GIA ĐÌNH</t>
  </si>
  <si>
    <t>CHI VĂN HOÁ THÔNG TIN</t>
  </si>
  <si>
    <t>CHI PHÁT THANH, TRUYỀN HÌNH, THÔNG TẤN</t>
  </si>
  <si>
    <t>CHI HOẠT ĐỘNG CỦA CÁC CƠ QUAN QUẢN LÝ NHÀ NƯỚC, ĐẢNG, ĐOÀN THỂ</t>
  </si>
  <si>
    <t>CHI BẢO ĐẢM XÃ HỘI</t>
  </si>
  <si>
    <t>Đầu tư phát triển</t>
  </si>
  <si>
    <t>Kinh phí sự nghiệp</t>
  </si>
  <si>
    <t>Chương trình mục tiêu quốc gia nông thôn mới</t>
  </si>
  <si>
    <t>Chương trình mục tiêu quốc gia GNBV</t>
  </si>
  <si>
    <t>Chia ra</t>
  </si>
  <si>
    <t>Số bổ sung cân đối từ ngân sách cấp tỉnh</t>
  </si>
  <si>
    <t>Số bổ sung thực hiện điều chỉnh tiền lương</t>
  </si>
  <si>
    <t>Tổng thu NSNN  trên địa bàn</t>
  </si>
  <si>
    <t>Chi tiết theo sắc thuế</t>
  </si>
  <si>
    <t>Đơn vị: %</t>
  </si>
  <si>
    <t>Bổ sung vốn đầu tư để thực hiện các chương trình mục tiêu, nhiệm vụ</t>
  </si>
  <si>
    <t>Bổ sung vốn sự nghiệp để thực hiện các chế độ, chính sách, nhiệm vụ</t>
  </si>
  <si>
    <t>Bố sung thực hiện các chương trình mục tiêu quốc gia</t>
  </si>
  <si>
    <t>1=2+3+4</t>
  </si>
  <si>
    <t>Biểu số 58/CK-NSNN</t>
  </si>
  <si>
    <t>TT</t>
  </si>
  <si>
    <t>Thời gian khởi công hoàn thành</t>
  </si>
  <si>
    <t xml:space="preserve">Quyết định đầu tư, Quyết định chủ trương đầu tư  </t>
  </si>
  <si>
    <t xml:space="preserve">Trong đó: </t>
  </si>
  <si>
    <t>Ngân sách địa phương</t>
  </si>
  <si>
    <t>Nguồn vốn XDCB trong nước</t>
  </si>
  <si>
    <t xml:space="preserve">Nguồn thu xổ số kiến thiết </t>
  </si>
  <si>
    <t>Nguồn thu tiền sử dụng đất</t>
  </si>
  <si>
    <t>Nguồn thu tiền thuê đất trả tiền một lần</t>
  </si>
  <si>
    <t>Ngân sách Trung ương</t>
  </si>
  <si>
    <t>Các nguồn vốn khác</t>
  </si>
  <si>
    <t>2020-2022</t>
  </si>
  <si>
    <t>2016-2021</t>
  </si>
  <si>
    <t>2022-2024</t>
  </si>
  <si>
    <t/>
  </si>
  <si>
    <t>2021-2023</t>
  </si>
  <si>
    <t>2021-2024</t>
  </si>
  <si>
    <t>2009-2010</t>
  </si>
  <si>
    <t>324/QĐ-TTg ngày 23/3/2019; Số 1700/QĐ-TTg ngày 28/11/2019; QĐ 574/QĐ-UBND, ngày 04/04/2019,  QĐ 126/QĐ-UBND ngày 17/01/2020</t>
  </si>
  <si>
    <t>2021-2022</t>
  </si>
  <si>
    <t>2490/QĐ-UBND ngày 15/10/2020</t>
  </si>
  <si>
    <t>VIII</t>
  </si>
  <si>
    <t>1904/QĐ-TTg ngày 16/10/2013 ;  2793/QĐ-UBND, ngày 31/12/2014; 609/QĐ-TTg ngày 26/4/2021</t>
  </si>
  <si>
    <t>2009-2016</t>
  </si>
  <si>
    <t>IX</t>
  </si>
  <si>
    <t>2017-2022</t>
  </si>
  <si>
    <t>2019-2022</t>
  </si>
  <si>
    <t>2570/QĐ-UBND ngày 22/11/2021</t>
  </si>
  <si>
    <t xml:space="preserve">851/QĐ-UBND ngày 14/5/2021 </t>
  </si>
  <si>
    <t>1991/QĐ-UBND ngày 08/09/2020</t>
  </si>
  <si>
    <t>3185/QĐ-UBND ngày 15/12/2020</t>
  </si>
  <si>
    <t>XII</t>
  </si>
  <si>
    <t>Nước ngoài</t>
  </si>
  <si>
    <t>Ngoài nước</t>
  </si>
  <si>
    <t>Giá trị khối lượng thực hiện từ khởi công đến 31/12/2021</t>
  </si>
  <si>
    <t>Chia theo nguồn vốn</t>
  </si>
  <si>
    <t>XIII</t>
  </si>
  <si>
    <t>CÁC CƠ QUAN, TỔ CHỨC</t>
  </si>
  <si>
    <t>Chi đầu tư và hỗ trợ cho các doanh nghiệp cung cấp sản phẩm, dịch vụ công ích do Nhà nước đặt hàng, các tổ chức kinh tế, các tổ chức tài chính của địa phương theo quy định của pháp luật</t>
  </si>
  <si>
    <t>CHI ĐẦU TƯ PHÁT TRIỂN (KHÔNG KỂ CHƯƠNG TRÌNH MỤC TIÊU QUỐC GIA)</t>
  </si>
  <si>
    <t>CHI THƯỜNG XUYÊN (KHÔNG KỂ CHƯƠNG TRÌNH MỤC TIÊU QUỐC GIA)</t>
  </si>
  <si>
    <t>CHI CHƯƠNG TRÌNH MTQG</t>
  </si>
  <si>
    <t>CHI ĐẦU TƯ PHÁT TRIỂN</t>
  </si>
  <si>
    <t>CHI THƯỜNG XUYÊN</t>
  </si>
  <si>
    <t>CHI CHUYỂN NGUỒN SANG NGÂN SÁCH NĂM SAU</t>
  </si>
  <si>
    <t>CHI ĐẦU TƯ PHÁT TRIỂN KHÁC (Chưa phân bổ chi tiết)</t>
  </si>
  <si>
    <t>Biểu số 46/CK-NSNN</t>
  </si>
  <si>
    <t>Biểu số 48/CK-NSNN</t>
  </si>
  <si>
    <t>Biểu số 47/CK-NSNN</t>
  </si>
  <si>
    <t>Biểu số 49/CK-NSNN</t>
  </si>
  <si>
    <t>CHIA RA</t>
  </si>
  <si>
    <t>UBND TỈNH YÊN BÁI</t>
  </si>
  <si>
    <t>Biểu số 51/CK-NSNN</t>
  </si>
  <si>
    <t>Biểu số 52/CK-NSNN</t>
  </si>
  <si>
    <t>DỰ TOÁN CHI ĐẦU TƯ PHÁT TRIỂN CỦA NGÂN SÁCH CẤP TỈNH</t>
  </si>
  <si>
    <t>Biểu số 53/CK-NSNN</t>
  </si>
  <si>
    <t>DỰ TOÁN CHI THƯỜNG XUYÊN CỦA NGÂN SÁCH CẤP TỈNH</t>
  </si>
  <si>
    <t>Biểu số 54/CK-NSNN</t>
  </si>
  <si>
    <t>Biểu số 55/CK-NSNN</t>
  </si>
  <si>
    <t>Biểu số 56/CK-NSNN</t>
  </si>
  <si>
    <t>Đơn vị tính: Triệu đồng</t>
  </si>
  <si>
    <t>DỰ TOÁN CHI BỔ SUNG CÓ MỤC TIÊU TỪ NGÂN SÁCH CẤP TỈNH</t>
  </si>
  <si>
    <t>- Thuế giá trị gia tăng, thu nhập doanh nghiệp</t>
  </si>
  <si>
    <t>- Thuế tài nguyên</t>
  </si>
  <si>
    <t>- Thuế giá trị gia tăng, thu nhập doanh nghiệp, tài nguyên, tiêu thụ đặc biệt</t>
  </si>
  <si>
    <t>TỔNG CỘNG</t>
  </si>
  <si>
    <t>Bộ chỉ huy Quân sự tỉnh Yên Bái</t>
  </si>
  <si>
    <t>Công an tỉnh Yên Bái</t>
  </si>
  <si>
    <t>Đầu tư cơ sở hạ tầng công nghệ thông tin phục vụ chuyển đổi số cho cơ quan nhà nước tỉnh Yên Bái</t>
  </si>
  <si>
    <t>Văn phòng Ủy ban nhân dân tỉnh Yên Bái</t>
  </si>
  <si>
    <t>CHI Y TẾ, DÂN SỐ VÀ GIA ĐINH</t>
  </si>
  <si>
    <t>E</t>
  </si>
  <si>
    <t>CHI THÔNG TIN VĂN HÓA</t>
  </si>
  <si>
    <t>Ban QLDA đầu tư xây dựng thành phố Yên Bái</t>
  </si>
  <si>
    <t>Khu di tích lịch sử bến phà Âu Lâu, thành phố Yên Bái</t>
  </si>
  <si>
    <t>Trung tâm văn hóa - thể thao thị xã Nghĩa Lộ</t>
  </si>
  <si>
    <t>F</t>
  </si>
  <si>
    <t>Dự án Đầu tư xây dựng hệ thống xử lý chất thải cho Bệnh viện đa khoa huyện Lục Yên và 08 phòng khám đa khoa khu vực - tỉnh Yên Bái</t>
  </si>
  <si>
    <t>G</t>
  </si>
  <si>
    <t>CHI HOẠT ĐỘNG KINH TẾ</t>
  </si>
  <si>
    <t xml:space="preserve">Cải tạo đường liên xã Yên Bình - Bạch Hà - Vũ Linh, huyện Yên Bình, tỉnh Yên Bái </t>
  </si>
  <si>
    <t>Cầu Trần Phú, thị trấn Nông trường Trần Phú, huyện Văn Chấn</t>
  </si>
  <si>
    <t>Đường nối quốc lộ 32 với cao tốc Nội Bài - Lào Cai (IC14)</t>
  </si>
  <si>
    <t xml:space="preserve">Cải tạo, nâng cấp đường Yên Thế - Vĩnh Kiên, huyện Yên Bình và huyện Lục Yên </t>
  </si>
  <si>
    <t>Đường nối Quốc lộ 70, quốc lộ 32C, Quốc lộ 37 với cao tốc Nội Bài - Lào Cai</t>
  </si>
  <si>
    <t>Cầu Tô Mậu, huyện Lục Yên</t>
  </si>
  <si>
    <t>Cải tạo, nâng cấp đường Nghĩa Tâm - Trung Sơn, huyện Văn Chấn</t>
  </si>
  <si>
    <t>Quy hoạch chung thị trấn Trạm Tấu và vùng phụ cần đến năm 2035</t>
  </si>
  <si>
    <t>X</t>
  </si>
  <si>
    <t xml:space="preserve">Tiểu dự án giải phóng mặt bằng đường Tân Nguyên - Phan Thanh - An Phú (đoạn Minh Tiến ÷ An Phú), huyện Lục Yên </t>
  </si>
  <si>
    <t>Nâng cấp đường vành đai thị trấn MCC</t>
  </si>
  <si>
    <t>XIV</t>
  </si>
  <si>
    <t>Càu Ngòi Hút, xã Phong Dụ Thượng, huyện Văn Yên</t>
  </si>
  <si>
    <t>XV</t>
  </si>
  <si>
    <t>Xây dựng khu tái định cư tập trung trên địa bàn xã Giới Phiên thành phố Yên Bái</t>
  </si>
  <si>
    <t>Xây dựng khu tái định cư tập trung trên địa bàn phường Yên Ninh thành phố Yên Bái</t>
  </si>
  <si>
    <t>XVI</t>
  </si>
  <si>
    <t>Đường đến Trung tâm xã Phù Nham, thị xã Nghĩa Lộ</t>
  </si>
  <si>
    <t>Hồ điều hòa kết hợp tiểu công viên tại phường Cầu Thia, thị xã Nghia Lộ</t>
  </si>
  <si>
    <t>XVII</t>
  </si>
  <si>
    <t>Bố trì vốn thực hiện nhiệm vụ chuẩn bị đầu tư</t>
  </si>
  <si>
    <t>XVIII</t>
  </si>
  <si>
    <t>Các quy hoạch khác sau khi đủ điểu kiện</t>
  </si>
  <si>
    <t>XIX</t>
  </si>
  <si>
    <t>Các dự án khởi công mới năm 2023</t>
  </si>
  <si>
    <t>XX</t>
  </si>
  <si>
    <t>Bố trí đề án phát triển GTNT</t>
  </si>
  <si>
    <t>H</t>
  </si>
  <si>
    <t>Rà soát, chuẩn bị thực hiện các dự án ODA, NGO</t>
  </si>
  <si>
    <t>Di chuyển, cải tạo, sửa chữa một số trụ sở làm việc cơ quan tỉnh Yên Bái ( Đợt 5)</t>
  </si>
  <si>
    <t>Bố trí vốn hỗ trợ đầu tư xây dựng trụ sở xã</t>
  </si>
  <si>
    <t>Nâng cấp, mở rộng Trung tâm Công tác xã hội và Bảo trợ xã hội tỉnh Yên Bái</t>
  </si>
  <si>
    <t>2490/QĐ-UBND ngày 15/10/2020; 844/QĐ-UBND ngày 27/5/2022</t>
  </si>
  <si>
    <t>2533/QĐ-UBND ngày 30/10/2019;
2879/QĐ-UBND ngày 20/12/2021</t>
  </si>
  <si>
    <t>2490/QĐ-UBND ngày 15/10/2020;
2569/QĐ-UBND ngày 22/11/2021</t>
  </si>
  <si>
    <t xml:space="preserve"> 2279/QĐ-UBND ngày 22/11/2022</t>
  </si>
  <si>
    <t>274/QĐ-UBND ngày09/02/2021; 1966/QĐ-UBND ngày 31/10/2022</t>
  </si>
  <si>
    <t>1351/QĐ-UBND ngày 03/7/2020; 3294/QĐ-UBND ngày 23/12/2020; 1882/QĐ-UBND ngày 19/10/2022</t>
  </si>
  <si>
    <t>1412/QĐ-UBND ngày 09/7/2020; 1882/QĐ-UBND ngày 19/10/2022</t>
  </si>
  <si>
    <t>1520/QĐ-UBND ngày 17/7/2020; 1882/QĐ-UBND ngày 19/10/2022</t>
  </si>
  <si>
    <t xml:space="preserve">3124/QĐ-UBND ngày 11/12/2020; 3134/QĐ-UBND ngày 11/12/2020; 1656/QĐ-UBND ngày 06/8/2021 </t>
  </si>
  <si>
    <t>257/QĐ-UBND ngày 08/02/2021; 3086/QĐ-UBND ngày 31/12/2021</t>
  </si>
  <si>
    <t>54/NQ-HĐND ngày 10/11/2020; 1779/QĐ-UBND ngày 19/8/2021; 1767/QĐ-UBND ngày 07/10/2022</t>
  </si>
  <si>
    <t>54/NQ-HĐND ngày 10/11/2020; 1721/QĐ-UBND ngày 13/8/2021</t>
  </si>
  <si>
    <t xml:space="preserve"> 3138/QĐ-UBND ngày 11/12/2020; 02/NQ-HĐND ngày 19/4/2021; 2970/QĐ-UBND ngày 29/12/2021; 1685/QĐ-UBND ngày 28/9/2022</t>
  </si>
  <si>
    <t>2967/QĐ-UBND ngày 28/12/2021</t>
  </si>
  <si>
    <t xml:space="preserve"> 1964/QĐ-UBND ngày 13/9/2021</t>
  </si>
  <si>
    <t>112/QĐ-UBND ngày 25/01/2021</t>
  </si>
  <si>
    <t>1236/QĐ-BTNMT 30/5/2016; 930/QĐ-TTg 30/5/2016; QĐ 2019/QĐ-UBND ngày 7/9/20106; QĐ 3000/QĐ-UBND ngày 29/11/2019; 3046/QĐ-UBND ngày 31/12/2021</t>
  </si>
  <si>
    <t>1571/QĐ-UBND ngày 14/10/2011; 1910/QĐ-UBND ngày 22/10/2014; 1202/QĐ-UBND ngày18/6/2021; 3086/QĐ-UBND ngày 31/12/2021</t>
  </si>
  <si>
    <t>1371/QĐ-UBND ngày 11/7/2016;
556/QĐ-UBND ngày 08/4/2022</t>
  </si>
  <si>
    <t>887/QĐ-UBND ngày 09/6/2022</t>
  </si>
  <si>
    <t>2999/QĐ-UBND ngày 30/12/2021; 236/QĐ-UBND ngày 24/02/2022</t>
  </si>
  <si>
    <t>1053/QĐ-UBND ngày 04/7/2022</t>
  </si>
  <si>
    <t>1970/QĐ-UBND ngày 31/10/2022</t>
  </si>
  <si>
    <t xml:space="preserve">1508/QĐ-UBND ngày 17/7/2020; 2069/QĐ-UBND ngày 04/11/2022 </t>
  </si>
  <si>
    <t>1516/QĐ-UBND ngày 26/7/2021;
1226/QĐ-UBND ngày 26/7/2022</t>
  </si>
  <si>
    <t>527/QĐ-UBND ngày 06/4/2022</t>
  </si>
  <si>
    <t>2026/QĐ-UBND ngày 31/10/2017; 20/NQ-HĐND ngày 04/7/2020; 17/NQ-HĐND ngày 06/7/2022</t>
  </si>
  <si>
    <t xml:space="preserve"> 3073/QĐ-UBND ngày 07/12/2020;
304/QĐ-UBND ngày 04/3/2022</t>
  </si>
  <si>
    <t>2252/QĐ-UBND ngày 17/11/2022</t>
  </si>
  <si>
    <t>1836/QĐ-UBND ngày 14/10/2022</t>
  </si>
  <si>
    <t>1835/QĐ-UBND ngày 14/10/2022</t>
  </si>
  <si>
    <t>90/QĐ-UBND ngày 21/01/2022</t>
  </si>
  <si>
    <t>422/QĐ-UBND ngày 25/3/2021</t>
  </si>
  <si>
    <t>0</t>
  </si>
  <si>
    <t>591/QĐ-UBND ngày 08/4/2021; 192/QĐ-UBND ngày 15/02/2022</t>
  </si>
  <si>
    <t>526/QĐ-UBND ngày 06/4/2022</t>
  </si>
  <si>
    <t>3134/QĐ-UBND ngày 11/12/2020;
966/QĐ-UBND ngày 22/6/2022</t>
  </si>
  <si>
    <t>QĐ 1033/QĐ-UBND ngày 30/6/2022</t>
  </si>
  <si>
    <t>Chương trình mục tiêu quốc gia PTKTXH ĐBDTTS</t>
  </si>
  <si>
    <t>Trường Cao đẳng nghề Yên Bái</t>
  </si>
  <si>
    <t>Ban Quản lý dự án đầu tư xây dựng tỉnh Yên Bái</t>
  </si>
  <si>
    <t xml:space="preserve"> CHO TỪNG CƠ QUAN, TỔ CHỨC THEO LĨNH VỰC NĂM 2023</t>
  </si>
  <si>
    <t>Biểu số 57/CK-NSNN</t>
  </si>
  <si>
    <t xml:space="preserve"> DANH MỤC CÁC CHƯƠNG TRÌNH, DỰ ÁN SỬ DỤNG VỐN NGÂN SÁCH NHÀ NƯỚC NĂM 2023</t>
  </si>
  <si>
    <t>CHI SỰ NGHIỆP KHOA HỌC VÀ CÔNG NGHỆ</t>
  </si>
  <si>
    <t>2019-2025</t>
  </si>
  <si>
    <t>3179/QĐ-UBND Ngày 14/12/2020</t>
  </si>
  <si>
    <t>2361/QĐ-UBND ngày 29/10/2021</t>
  </si>
  <si>
    <t>818/QĐ-UBND ngày 26/5/2022</t>
  </si>
  <si>
    <t>Văn phòng UBND tỉnh</t>
  </si>
  <si>
    <t>Chưa phân bổ chi tiết</t>
  </si>
  <si>
    <t>Sở Công thương</t>
  </si>
  <si>
    <t>Chương trình mục tiêu quốc gia phát triển KTXH vùng đồng bào DTTS &amp;MN</t>
  </si>
  <si>
    <t>Chương trình mục tiêu quốc gia Giảm nghèo bền vững</t>
  </si>
  <si>
    <t>Chương trình mục tiêu quốc gia Xây dựng nông thôn mới</t>
  </si>
  <si>
    <t>Cục thống kê tỉnh</t>
  </si>
  <si>
    <t>Bổ sung tiền lương cơ sở và các chế độ, chính sách</t>
  </si>
  <si>
    <t>Văn phòng CĐĐP Chương trình nông thôn mới</t>
  </si>
  <si>
    <t xml:space="preserve">Sở Xây dựng </t>
  </si>
  <si>
    <t>Doanh trại Đại đội C20, Đại đội 27 và đơn vị trực thuộc</t>
  </si>
  <si>
    <t>Trụ sở làm việc của Ban Chỉ huy Quân sự cấp xã (đợt 1)</t>
  </si>
  <si>
    <t>1318/QĐ-UBND ngày 25/7/2023</t>
  </si>
  <si>
    <t>1111/QĐ-UBND ngày 29/6/2023</t>
  </si>
  <si>
    <t>Lũy kế vốn đã bố trí đến 31/12/2023</t>
  </si>
  <si>
    <t>Dự án đầu tư xây dựng công trình Trụ sở công an các phường trên địa bàn tỉnh Yên Bái</t>
  </si>
  <si>
    <t>Mở rộng cơ sở làm việc Công an huyện Văn Chấn thuộc Công an tỉnh Yên Bái</t>
  </si>
  <si>
    <t xml:space="preserve">Mua sắm trang thiết bị phục vụ yêu cầu công tác cho lực lượng kỹ thuật hình sự Công an tỉnh </t>
  </si>
  <si>
    <t>Mua sắm, lắp đặt trang thiết bị cho Phòng An ninh mạng và phòng, chống tội phạm sử dụng công nghệ cao thuộc Công an tỉnh Yên Bái</t>
  </si>
  <si>
    <t>6401/QĐ-BCA-H02 ngày 19/9/2023</t>
  </si>
  <si>
    <t>01/NQ-HĐND ngày 19/4/2021; 04/NQ-HĐND ngày 12/4/2023 (CTĐT)</t>
  </si>
  <si>
    <t>447/QĐ-UBND ngày 31/3/2023 (CTĐT)</t>
  </si>
  <si>
    <t>Kế hoạch vốn năm 2024</t>
  </si>
  <si>
    <t>2023-2024</t>
  </si>
  <si>
    <t>2021-2025</t>
  </si>
  <si>
    <t>Dự án đầu tư xây dựng mới, nâng cấp, cải tạo và mua sắm trang thiết bị cho 07 Trung tâm Y tế tuyến huyện, tỉnh Yên Bái</t>
  </si>
  <si>
    <t>Dự án đầu tư nâng cấp, cải tạo và mua sắm trang thiết bị Trung tâm Kiểm soát bệnh tật (CDC) tỉnh Yên Bái</t>
  </si>
  <si>
    <t>28/NQ-HĐND ngày 31/8/2022; 396/QĐ-UBND ngày 27/3/2023</t>
  </si>
  <si>
    <t>1480/QĐ-UBND ngày 26/8/2022; 397/QĐ-UBND ngày 27/3/2023</t>
  </si>
  <si>
    <t>Chương trình MTQG phát triển kinh tế xã hội vùng đồng bào dân tộc thiểu số và miền núi</t>
  </si>
  <si>
    <t>Dự án 6: Bảo tồn, phát huy giá trị văn hóa truyền thống tốt đẹp của các dân tộc thiểu số gắn với phát triển du lịch</t>
  </si>
  <si>
    <t>Huyện Mù Cang chải</t>
  </si>
  <si>
    <t>ỦY BAN NHÂN DÂN TỈNH YÊN BÁI</t>
  </si>
  <si>
    <t>DỰ TOÁN CHI ĐẦU TƯ PHÁT TRIỂN CỦA NGÂN SÁCH CẤP TỈNH CHO TỪNG CƠ QUAN, TỔ CHỨC THEO LĨNH VỰC NĂM 2024</t>
  </si>
  <si>
    <t>(Dự toán đã được Hội đồng nhân dân tỉnh quyết định)</t>
  </si>
  <si>
    <t>Chi quốc phòng</t>
  </si>
  <si>
    <t xml:space="preserve">Chi an ninh </t>
  </si>
  <si>
    <t>Chi giáo dục đào tạo và dạy nghề</t>
  </si>
  <si>
    <t>Chi văn hóa thông tin</t>
  </si>
  <si>
    <t>Chi phát thanh, truyền hình</t>
  </si>
  <si>
    <t>Chi QLNN đảng, đoàn thể</t>
  </si>
  <si>
    <t>Chi bảo đảm xã hội</t>
  </si>
  <si>
    <t>Các lĩnh vực khác</t>
  </si>
  <si>
    <t>Chưa phân bổ</t>
  </si>
  <si>
    <t>UBND huyện Mù Cang Chải</t>
  </si>
  <si>
    <t>UBND huyện Văn Chấn</t>
  </si>
  <si>
    <t>UBND huyện Văn Yên</t>
  </si>
  <si>
    <t>UBND huyện Lục Yên</t>
  </si>
  <si>
    <t>UBND huyện Trấn Yên</t>
  </si>
  <si>
    <t>UBND thị xã Nghĩa Lộ</t>
  </si>
  <si>
    <t>UBND huyện Yên Bình</t>
  </si>
  <si>
    <t>Sở Công thươnng</t>
  </si>
  <si>
    <t>Sở Văn hóa - Thể thao và Du lịch</t>
  </si>
  <si>
    <t>Sở Xây dựng</t>
  </si>
  <si>
    <t>Liên đoàn lao động</t>
  </si>
  <si>
    <t>Trung tâm phát triển quỹ đất</t>
  </si>
  <si>
    <t>Trường Cao đẳng nghề</t>
  </si>
  <si>
    <t>Dự án chưa phân bổ</t>
  </si>
  <si>
    <t>UỶ BAN NHÂN DÂN TỈNH YÊN BÁI</t>
  </si>
  <si>
    <t xml:space="preserve"> DANH MỤC CÁC CHƯƠNG TRÌNH, DỰ ÁN SỬ DỤNG VỐN NGÂN SÁCH NHÀ NƯỚC NĂM 2024</t>
  </si>
  <si>
    <t>Chủ đầu tư</t>
  </si>
  <si>
    <t>Vốn nước ngoài</t>
  </si>
  <si>
    <t>Ngân sách tỉnh</t>
  </si>
  <si>
    <t>Nguồn trung ương BSMT</t>
  </si>
  <si>
    <t>Nguồn vốn nước ngoài</t>
  </si>
  <si>
    <t>Nguồn vốn vay lại</t>
  </si>
  <si>
    <t>CHI GIÁO DỤC VÀ ĐÀO TẠO</t>
  </si>
  <si>
    <t>Ban QLDA ĐTXD huyện Yên Bình</t>
  </si>
  <si>
    <t>Trường TH&amp;THCS Mông Sơn (Phân hiệu tiểu học)</t>
  </si>
  <si>
    <t>211/QĐ-UBND
ngày 26/7/2023</t>
  </si>
  <si>
    <t>Trường TH&amp;THCS Mông Sơn (Điểm chính)</t>
  </si>
  <si>
    <t>216/QĐ-UBND
ngày 26/7/2023</t>
  </si>
  <si>
    <t>Trường TH&amp;THCS Phú Thịnh</t>
  </si>
  <si>
    <t>1467/QĐ-UBND
ngày 18/8/2023</t>
  </si>
  <si>
    <t>Trường TH&amp;THCS Vĩnh Kiên</t>
  </si>
  <si>
    <t>1465/QĐ-UBND
ngày 18/8/2023</t>
  </si>
  <si>
    <t>Trường mầm non Cảm Ân</t>
  </si>
  <si>
    <t>212/QĐ-UBND 
ngày 26/7/2023</t>
  </si>
  <si>
    <t>Trường TH&amp;THCS Vũ Linh</t>
  </si>
  <si>
    <t>1476/QĐ-UBND 
ngày 18/8/2023</t>
  </si>
  <si>
    <t>Trường mầm non Vũ Linh</t>
  </si>
  <si>
    <t>217/QĐ-UBND
 ngày 26/7/2023</t>
  </si>
  <si>
    <t>Trường TH&amp;THCS Xuân Long (Điểm chính)</t>
  </si>
  <si>
    <t>1466/QĐ-UBND
 ngày 18/8/2023</t>
  </si>
  <si>
    <t>Trường TH&amp;THCS Bạch Hà</t>
  </si>
  <si>
    <t>1479/QĐ-UBND
 ngày 18/8/2023</t>
  </si>
  <si>
    <t>Trường TH&amp;THCS Đại Minh (phân hiệu THCS)</t>
  </si>
  <si>
    <t>213/QĐ-UBND
 ngày 26/7/2023</t>
  </si>
  <si>
    <t>Trường TH&amp;THCS Hán Đà</t>
  </si>
  <si>
    <t>1378/QĐ-UBND
 ngày 03/8/2023</t>
  </si>
  <si>
    <t>Trường TH&amp;THCS Cảm Ân</t>
  </si>
  <si>
    <t>215/QĐ-UBND
 ngày 26/7/2023</t>
  </si>
  <si>
    <t>Chương trình Mục tiêu quốc gia</t>
  </si>
  <si>
    <t>Dự án 5: Phát triển giáo dục đào tạo nâng cao chất lượng nguồn nhân lực</t>
  </si>
  <si>
    <t>Ban Quản lý dự án ĐTXD huyện Mù Cang Chải</t>
  </si>
  <si>
    <t>Ban Quản lý dự án ĐTXD huyện Trạm Tấu</t>
  </si>
  <si>
    <t>Ban Quản lý dự án ĐTXD huyện Văn Yên</t>
  </si>
  <si>
    <t>Ban Quản lý dự án ĐTXD huyện Lục Yên</t>
  </si>
  <si>
    <t>Ban Quản lý dự án ĐTXD huyện Yên Bình</t>
  </si>
  <si>
    <t>Chương trình MTQG giảm nghèo bền vững</t>
  </si>
  <si>
    <t>Dự án 1: Hỗ trợ phát triển hạ tầng kinh tế xã hội các huyện nghèo</t>
  </si>
  <si>
    <t>Dự án 4: Phát triển giáo dục nghề nghiệp, việc làm bền vững</t>
  </si>
  <si>
    <t>CHI SỰ NGHIỆP KHOA HỌC VÀ CÔNG NGHÊ</t>
  </si>
  <si>
    <t>3179/QĐ-UBND ngày 14/12/2020; 983/QĐ-UBND ngày 12/6/2023</t>
  </si>
  <si>
    <t>Dự án  "Đầu tư xây dựng và phát triển hệ thống cung ứng dịch vụ tuyến cơ sở"</t>
  </si>
  <si>
    <t>Ban QLDA ĐTXD tỉnh Yên Bái</t>
  </si>
  <si>
    <t>1745/QĐ-UBND ngày 10/8/2020;
1265/QĐ-UBND ngày 01/8/2022;
1763/QĐ-UBND ngày 29/9/2023</t>
  </si>
  <si>
    <t>1206/QĐ-UBND ngày 16/6/2020; 148/QĐ-UBND ngày 15/7/2020; 3291/QĐ-UBND ngày 23/12/2020; 3086/QĐ-UBND ngày 31/12/2021; 855/QĐ-UBND ngày 03/6/2022</t>
  </si>
  <si>
    <t>Cải tạo  đường liên  xã Yên Bình - Bạch Hà - Vũ Linh, huyện Yên Bình, tỉnh Yên Bái</t>
  </si>
  <si>
    <t>2490/QĐ-UBND ngày 15/10/2020;
2361/QĐ-UBND ngày 29/10/2021</t>
  </si>
  <si>
    <t>Đường trục chính cụm công nghiệp Phú Thịnh, huyện Yên Bình, tỉnh Yên Bái</t>
  </si>
  <si>
    <t>01/NQ-HĐND ngày 30/3/2022; 898/QĐ-UBND ngày 02/6/2023</t>
  </si>
  <si>
    <t>289/QĐ-TTg ngày 18/3/2019; 466/QĐ-UBND ngày 21/3/2019; QĐ 26/QĐ-TTG ngày 06/01/2020; QĐ 400/QĐ-UBND ngày 3/3/2020</t>
  </si>
  <si>
    <t>724/QĐ-TTg  28/4/2016; QĐ 3154/QĐ-UBND  05/12/2017</t>
  </si>
  <si>
    <t>Kè chống sạt lở và phát triển cơ sở hạ tầng hai bờ sông Hồng, tỉnh Yên Bái</t>
  </si>
  <si>
    <t>500/QĐ-UBND ngày 24/3/2021; 02/NQ-HĐND ngày 19/4/2021</t>
  </si>
  <si>
    <t>558/QĐ-UBND ngày 31/3/2021; 02/NQ-HĐND ngày 19/4/2021</t>
  </si>
  <si>
    <t>Cầu Đại Phác, huyện Văn Yên</t>
  </si>
  <si>
    <t>497/QĐ-UBND ngày 07/4/2023 (CTĐT)</t>
  </si>
  <si>
    <t>Đường nối Quốc lộ 32 với đường cao tốc Nội Bài - Lào Cai (IC15)</t>
  </si>
  <si>
    <t>H. Văn Yên và H. Văn Chấn</t>
  </si>
  <si>
    <t>3447/QĐ-UBND ngày 31/12/2020; 3086/QĐ-UBND ngày 31/12/2021; 17/NQ-HĐND ngày 08/7/2023 (CTĐT)</t>
  </si>
  <si>
    <t>Đường nối Quốc lộ 70, Quốc lộ 32C, Quốc lộ 37 với cao tốc Nội Bài - Lào Cai</t>
  </si>
  <si>
    <t>54/NQ-HĐND ngày 10/11/2020; 02/NQ-HĐND ngày 19/4/2021; 1964/QĐ-UBND ngày 13/9/2021</t>
  </si>
  <si>
    <t>54/NQ-HĐND ngày 10/11/2020; 1779/QĐ-UBND ngày 19/8/2021; 28/NQ-HĐND ngày 31/8/2022; 1767/QĐ-UBND ngày 07/10/2022; 1704/QĐ-UBND ngày 21/9/2023; 72/NQ-HĐND ngày 08/12/2023</t>
  </si>
  <si>
    <t xml:space="preserve"> 3138/QĐ-UBND ngày 11/12/2020; 02/NQ-HĐND ngày 19/4/2021; 2970/QĐ-UBND ngày 29/12/2021; 1685/QĐ-UBND ngày 28/9/2022; 22/NQ-HĐND ngày 08/7/2023</t>
  </si>
  <si>
    <t>H. Văn Yên và H. Trấn Yên</t>
  </si>
  <si>
    <t>2570/QĐ-UBND ngày 22/11/2021; 04/NQ-HĐND ngày 12/4/2023</t>
  </si>
  <si>
    <t>Đường kết nối Mường La (Sơn La), Than Uyên, Tân Uyên (Lai Châu), Mù Cang Chải, Văn Chấn, Văn Yên (Yên Bái) với đường cao tốc Nội Bài - Lào Cai (IC15)</t>
  </si>
  <si>
    <t>Các huyện: MCC, VC, VY</t>
  </si>
  <si>
    <t>54/NQ-HĐND ngày 10/11/2020; 1721/QĐ-UBND ngày 13/8/2021; 16/NQ-HĐND ngày 08/7/2023 (CTĐT)</t>
  </si>
  <si>
    <t>Đường nối quốc lộ 32C với quốc lộ 37 và đường Yên Ninh, thành phố Yên Bái</t>
  </si>
  <si>
    <t>1351/QĐ-UBND ngày 03/7/2020; 3294/QĐ-UBND ngày 23/12/2020; 1882/QĐ-UBND ngày 19/10/2022; 571/QĐ-UBND ngày 19/4/2023</t>
  </si>
  <si>
    <t>Đường nối Quốc lộ 37, Quốc lộ 32C với đường cao tốc Nội Bài - Lào Cai, tỉnh Yên Bái</t>
  </si>
  <si>
    <t>1520/QĐ-UBND ngày 17/7/2020; 3086/QĐ-UBND ngày 31/12/2021</t>
  </si>
  <si>
    <t>2490/QĐ-UBND ngày 15/10/2020; 112/QĐ-UBND ngày 25/01/2021</t>
  </si>
  <si>
    <t>3184/QĐ-UBND ngày 15/12/2020</t>
  </si>
  <si>
    <t xml:space="preserve">Cải tạo, nâng cấp đường Văn Chấn (Yên Bái) - Yên Lập (Phú Thọ) </t>
  </si>
  <si>
    <t>Cải tạo, nâng cấp đường Yên Thế - Vĩnh Kiên, huyện Yên Bình và huyện Lục Yên</t>
  </si>
  <si>
    <t>H. Yên Bình và H. Lục Yên</t>
  </si>
  <si>
    <t>2967/QĐ-UBND ngày 28/12/2021; 04/NQ-HĐND ngày 12/4/2023; 1703/QĐ-UBND ngày 21/9/2023</t>
  </si>
  <si>
    <t>Đê chống ngập sông Hồng khu vực xã Giới Phiên, thành phố Yên Bái</t>
  </si>
  <si>
    <t>48/TT.HĐND ngày 30/3/2018; 2254/QĐ-UBND 29/10/2018</t>
  </si>
  <si>
    <t>TP. Yên Bái và H. Yên Bình</t>
  </si>
  <si>
    <t>Chợ thị trấn Thác Bà</t>
  </si>
  <si>
    <t>1760/QĐ-UBND
 ngày 29/9/2023</t>
  </si>
  <si>
    <t>Chợ  xã Mông Sơn</t>
  </si>
  <si>
    <t>208/QĐ-UBND
ngày 26/7/2023</t>
  </si>
  <si>
    <t>Cấp nước sạch tập trung xã Thịnh Hưng</t>
  </si>
  <si>
    <t>206/QĐ-UBND
 ngày 26/7/2023</t>
  </si>
  <si>
    <t>Cấp nước sinh hoạt tập trung xã Cảm Ân</t>
  </si>
  <si>
    <t>233/QĐ-UBND ngày 29/8/2023</t>
  </si>
  <si>
    <t>Cấp nước sinh hoạt tập trung xã Vũ Linh</t>
  </si>
  <si>
    <t>235/QĐ-UBND ngày 29/8/2023</t>
  </si>
  <si>
    <t>Cấp nước sinh hoạt tập trung xã Bảo Ái</t>
  </si>
  <si>
    <t>236/QĐ-UBND ngày 29/8/2023</t>
  </si>
  <si>
    <t>Cấp nước sinh hoạt tập trung xã Xuân Lai</t>
  </si>
  <si>
    <t>237/QĐ-UBND ngày 29/8/2023</t>
  </si>
  <si>
    <t>Cấp nước sinh hoạt tập trung xã Cảm Nhân</t>
  </si>
  <si>
    <t>238/QĐ-UBND ngày 29/8/2023</t>
  </si>
  <si>
    <t>Cấp nước sinh hoạt tập trung xã Phúc An</t>
  </si>
  <si>
    <t>239/QĐ-UBND ngày 29/8/2023</t>
  </si>
  <si>
    <t>Cấp nước sinh hoạt tập trung xã Xuân Long</t>
  </si>
  <si>
    <t>240/QĐ-UBND ngày 29/8/2023</t>
  </si>
  <si>
    <t>Ban QLDA đầu tư xây dựng huyện Trấn Yên</t>
  </si>
  <si>
    <t>Tiểu dự án giải phóng mặt bằng Khu, cụm công nghiệp</t>
  </si>
  <si>
    <t>TP.Yên Bái</t>
  </si>
  <si>
    <t>Chương trình mục tiêu quốc gia</t>
  </si>
  <si>
    <t>12.1</t>
  </si>
  <si>
    <t>a</t>
  </si>
  <si>
    <t>Dự án 1: Giải quyết tình trạng thiếu đất ở, nhà ở, đất sản xuất, nước sinh hoạt</t>
  </si>
  <si>
    <t>Dự án 4: Đầu tư cơ sở hạ tầng thiết yếu, phục vụ sản xuất, đời sống trong vùng đồng bào dân tộc thiểu số và miền núi và các đơn vị sự nghiệp công lập của lĩnh vực dân tộc</t>
  </si>
  <si>
    <t>b</t>
  </si>
  <si>
    <t>Dự án 1: Giải quyết tình trạng thiếu đất ở, nhà ở, đất sản xuất, nước sinh hoạt (  Hỗ trợ Nhà ở)</t>
  </si>
  <si>
    <t>Dự án 1: Giải quyết tình trạng thiếu đất ở, nhà ở, đất sản xuất, nước sinh hoạt ( Hỗ trợ nước sinh hoạt)</t>
  </si>
  <si>
    <t>c</t>
  </si>
  <si>
    <t>d</t>
  </si>
  <si>
    <t>e</t>
  </si>
  <si>
    <t>g</t>
  </si>
  <si>
    <t>h</t>
  </si>
  <si>
    <t>i</t>
  </si>
  <si>
    <t>Ban Quản lý dự án ĐTXD thị xã Nghĩa Lộ</t>
  </si>
  <si>
    <t>12.2</t>
  </si>
  <si>
    <t>12.3</t>
  </si>
  <si>
    <t>HUYỆN YÊN BÌNH</t>
  </si>
  <si>
    <t>HUYỆN VĂN YÊN</t>
  </si>
  <si>
    <t>HUYỆN TRẠM TẤU</t>
  </si>
  <si>
    <t xml:space="preserve">HUYỆN VĂN CHẤN </t>
  </si>
  <si>
    <t>HUYỆN TRẤN YÊN</t>
  </si>
  <si>
    <t xml:space="preserve">HUYỆN LỤC YÊN </t>
  </si>
  <si>
    <t xml:space="preserve">THỊ XÃ NGHĨA LỘ </t>
  </si>
  <si>
    <t>Ban QLDA đầu tư xây dựng Thị xã Nghĩa Lộ</t>
  </si>
  <si>
    <t xml:space="preserve">THÀNH PHỐ YÊN BÁI </t>
  </si>
  <si>
    <t>Trung tâm Hội nghị tỉnh Yên Bái</t>
  </si>
  <si>
    <t>51/NQ-HĐND ngày 02/10/2020; 832/QĐ-UBND ngày 25/5/2023</t>
  </si>
  <si>
    <t>Trụ sở Tỉnh ủy và các ban Đảng</t>
  </si>
  <si>
    <t>2656/QĐ-UBND ngày 27/12/2022</t>
  </si>
  <si>
    <t>Liên đoàn Lao động tỉnh Yên Bái</t>
  </si>
  <si>
    <t>Đầu tư xây dựng các hạng mục phụ trợ, hạ tầng kỹ thuật ngoài nhà và bổ sung hoàn thiện nội thất, trang thiết bị công trình Nhà thi đấu thể dục - thể thao của Liên đoàn Lao động tỉnh Yên Bái (giai đoạn 2)</t>
  </si>
  <si>
    <t>5302/QĐ-UBND ngày 13/9/2022</t>
  </si>
  <si>
    <t>Ban QLDA ĐTXD huyện Trấn Yên</t>
  </si>
  <si>
    <t>Trung tâm Bồi dưỡng chính trị huyện Trấn Yên</t>
  </si>
  <si>
    <t>176/QĐ-UBND ngày 01/02/2021; 594/QĐ-UBND ngày 21/4/2023</t>
  </si>
  <si>
    <t>Trụ sở xã Lương Thịnh</t>
  </si>
  <si>
    <t xml:space="preserve">1653/QĐ-UBND ngày 24/5/2023 </t>
  </si>
  <si>
    <t>Ban QLDA ĐTXD thị xã Nghĩa Lộ</t>
  </si>
  <si>
    <t>Trụ sở xã Nghĩa Lộ</t>
  </si>
  <si>
    <t>586/QĐ-UBND ngày 24/5/2023</t>
  </si>
  <si>
    <t>Trụ sở xã Nghĩa Phúc</t>
  </si>
  <si>
    <t>584/QĐ-UBND ngày 24/5/2023</t>
  </si>
  <si>
    <t>Trụ sở xã Tân Nguyên</t>
  </si>
  <si>
    <t>76/QĐ-UBND ngày 23/5/2023</t>
  </si>
  <si>
    <t xml:space="preserve">Trụ sở xã Mông Sơn </t>
  </si>
  <si>
    <t>77/QĐ-UBND ngày 23/5/2023</t>
  </si>
  <si>
    <t>Ban QLDA ĐTXD huyện Văn Yên</t>
  </si>
  <si>
    <t>Trụ sở xã Đông Cuông</t>
  </si>
  <si>
    <t>1545/QĐ-UBND ngày 14/6/2023</t>
  </si>
  <si>
    <t>Ban QLDA ĐTXD huyện Trạm Tấu</t>
  </si>
  <si>
    <t>Trụ sở xã Bản Mù</t>
  </si>
  <si>
    <t>1079/QĐ-UBND ngày 23/6/2023</t>
  </si>
  <si>
    <t>Ban QLDA ĐTXD huyện Mù Cang Chải</t>
  </si>
  <si>
    <t>Trụ sở xã Nậm Có</t>
  </si>
  <si>
    <t>1082/QĐ-UBND ngày 23/6/2023</t>
  </si>
  <si>
    <t>Sở Lao động - Thương binh và Xã hội</t>
  </si>
  <si>
    <t>Cải tạo, nâng cấp Cơ sở cai nghiện ma túy tỉnh Yên Bái</t>
  </si>
  <si>
    <t xml:space="preserve">1969/QĐ-UBND ngày 30/10/2023 </t>
  </si>
  <si>
    <t>Cải tạo, sửa chữa trụ sở Sở Xây dựng tỉnh Yên Bái</t>
  </si>
  <si>
    <t>1720/QĐ-UBND ngày 26/9/2023</t>
  </si>
  <si>
    <t xml:space="preserve">Cải tạo, sửa chữa trụ sở làm việc Sở Y tế </t>
  </si>
  <si>
    <t>1291/QĐ-UBND ngày 19/7/2023</t>
  </si>
  <si>
    <t>Trung tâm Phát triển quỹ đất tỉnh</t>
  </si>
  <si>
    <t>Sửa chữa tài sản và đầu tư trang thiết bị cho Trung tâm phát triển quỹ đất tỉnh Yên Bái</t>
  </si>
  <si>
    <t>TP.
 Yên Bái</t>
  </si>
  <si>
    <t>1329/QĐ-UBND ngày 26/7/2023</t>
  </si>
  <si>
    <t>Văn phòng Ủy ban nhân dân tỉnh</t>
  </si>
  <si>
    <t>Cải tạo, sửa chữa trụ sở làm việc, nhà bếp ăn Văn phòng Ủy ban nhân dân tỉnh Yên Bái</t>
  </si>
  <si>
    <t>51/NQ-HĐND ngày 02/10/2020; 1017/QĐ-UBND ngày 16/6/2023</t>
  </si>
  <si>
    <t>TP yên bái</t>
  </si>
  <si>
    <t>Sở Văn hóa, Thể thao và Du lịch</t>
  </si>
  <si>
    <t>CHƯA PHÂN BỔ</t>
  </si>
  <si>
    <t>Đề án phát triển giáo dục giai đoạn 2021-2015 và dự án giáo dục khác</t>
  </si>
  <si>
    <t>Bố trí vốn hỗ trợ đầu tư xây dựng trụ sở xã CPB</t>
  </si>
  <si>
    <t>Bố trí cho các dự án sau khi hoàn thành thủ tục</t>
  </si>
  <si>
    <t>Dự phòng cho hạ tầng kỹ thuật cụm công nghiệp</t>
  </si>
  <si>
    <t>Bố trí nhiệm vụ chuẩn bị đầu tư</t>
  </si>
  <si>
    <t>Dự án dự kiến khởi công năm 2024</t>
  </si>
  <si>
    <t>Chương trình MTQG</t>
  </si>
  <si>
    <t>Di chuyển, cải tạo sửa chữa một số trụ sở làm việc cơ quan tỉnh Yên Bái (Đợt 5)</t>
  </si>
  <si>
    <t>34/QĐ-UBND ngày 13/01/2022; 2529/QĐ-UBND ngày 12/12/2022; 37/QĐ-UBND ngày 11/01/2023</t>
  </si>
  <si>
    <t>Văn phòng Đoàn đại biểu Quốc hội và Hội đồng nhân dân tỉnh</t>
  </si>
  <si>
    <t>Cải tạo, sửa chữa trụ sở làm việc Chi cục Thủy lợi và Hội Cựu chiến binh tỉnh Yên Bái</t>
  </si>
  <si>
    <t>903/QĐ-UBND ngày 02/6/2023; 1970/QĐ-UBND ngày 30/10/2023 (CTĐT)</t>
  </si>
  <si>
    <t>Chi cục Thủy lợi</t>
  </si>
  <si>
    <t>Tiểu dự án giải phóng mặt bằng và xây dựng hạ tầng kỹ thuật cụm công nghiệp Bắc Văn Yên</t>
  </si>
  <si>
    <t>509/QĐ-UBND ngày 07/4/2023; 921/QĐ-UBND ngày 05/6/2023; 2198/QĐ-UBND ngày 24/11/2023</t>
  </si>
  <si>
    <t>TX Nghĩa Lộ</t>
  </si>
  <si>
    <t>Đường Bản Mù - Làng Nhì, xã Bản Mù, xã Làng Nhì</t>
  </si>
  <si>
    <t xml:space="preserve">   1990/QĐ-UBND ngày 08/09/2020; 1470/QĐ-UBND ngày 18/8/2023</t>
  </si>
  <si>
    <t>Đường đến trung tâm xã Làng Nhì</t>
  </si>
  <si>
    <t>124/QĐ-UBND ngày 25/01/2019; 2051/QĐ-UBND ngày 11/9/2020; 1471/QĐ-UBND ngày 18/8/2023</t>
  </si>
  <si>
    <t>Chi cục kiểm lâm</t>
  </si>
  <si>
    <t>Trung tâm đào tạo lái xe mô tô</t>
  </si>
  <si>
    <t>97/QĐ-UBND ngày 29/6/2024</t>
  </si>
  <si>
    <t>1669/QĐ-UBND ngày 19/8/2024</t>
  </si>
  <si>
    <t>577/QĐ-UBND ngày 05/4/2024</t>
  </si>
  <si>
    <t>227/QĐ-UBND ngày 05/02/2024</t>
  </si>
  <si>
    <t>Dự án đo đạc, lập bản đồ địa chính tại huyện Văn Chấn, Văn Yên, Mù Cang Chải và thị xã Nghĩa Lộ, tỉnh Yên Bái</t>
  </si>
  <si>
    <t>04/NQ-HĐND ngày 12/4/2023; 2404/QĐ-UBND ngày 14/12/2023</t>
  </si>
  <si>
    <t xml:space="preserve">Dự án đầu tư xây dựng Hạ tầng khu công nghiệp Âu Lâu, tỉnh Yên Bái </t>
  </si>
  <si>
    <t>Hạ tầng kỹ thuật Khu công nghiệp phía Nam tỉnh Yên Bái</t>
  </si>
  <si>
    <t>Hạ tầng kỹ thuật khu công nghiệp Minh Quân</t>
  </si>
  <si>
    <t>15/QĐ-UBND ngày 04/01/2024</t>
  </si>
  <si>
    <t>1836/QĐ-UBND ngày 14/10/2022; 1703/QĐ-UBND ngày 22/8/2024</t>
  </si>
  <si>
    <t>Trụ sở Đài Phát thanh và Truyền hình tỉnh Yên Bái</t>
  </si>
  <si>
    <t>Trung tâm hội nghị huyện Trấn Yên</t>
  </si>
  <si>
    <t>Cải tạo, sửa chữa Trung tâm Đào tạo lái xe mô tô tỉnh Yên Bái</t>
  </si>
  <si>
    <t>Cải tạo trụ sở làm việc, nhà bếp ăn và khuôn viên Văn phòng Ủy ban nhân dân tỉnh Yên Bái</t>
  </si>
  <si>
    <t>Bổ sung tiền lương cơ sở, bổ sung các chính sách, chế độ</t>
  </si>
  <si>
    <t xml:space="preserve">Bổ sung tiền lương cơ sở </t>
  </si>
  <si>
    <t>Chi từ nguồn thu kinh phí đóng góp của tổ chức, cá nhân khai thác khoáng sản</t>
  </si>
  <si>
    <t xml:space="preserve">Thu Chuyển nguồn cải cách tiền lương năm trước chuyển sang  </t>
  </si>
  <si>
    <t>70% tăng thu dự toán tỉnh giao so với dự toán trung ương giao để thực hiện chính sách tiền lương</t>
  </si>
  <si>
    <t>Chi trong cân đối ngân sách xã</t>
  </si>
  <si>
    <t>Chi từ nguồn bổ sung có mục tiêu</t>
  </si>
  <si>
    <t>NGÂN SÁCH XÃ</t>
  </si>
  <si>
    <t xml:space="preserve">BỘI CHI NGÂN SÁCH ĐỊA PHƯƠNG </t>
  </si>
  <si>
    <t xml:space="preserve">Vay để bù đắp bội chi  ngân sách cấp tỉnh </t>
  </si>
  <si>
    <t>- Thuế tiêu thụ đặc biệt</t>
  </si>
  <si>
    <t xml:space="preserve">Thu kinh phí của tổ chức, cá nhân khai thác khoáng sản </t>
  </si>
  <si>
    <t>NGÂN SÁCH XÃ, PHƯỜNG</t>
  </si>
  <si>
    <t>Chi từ nguồn kinh phí đóng góp của tổ chức, cá nhân khai thác khoáng sản</t>
  </si>
  <si>
    <t>Sở Nông nghiệp và Môi trường và các đơn vị trực thuộc</t>
  </si>
  <si>
    <t>Sở Công Thương và các đơn vị trực thuộc</t>
  </si>
  <si>
    <t>Sở Giáo dục và Đào tạo và các đơn vị trực thuộc</t>
  </si>
  <si>
    <t>Sở Khoa học và Công nghệ và các đơn vị trực thuộc</t>
  </si>
  <si>
    <t xml:space="preserve">Sở Văn hoá Thể thao và Du lịch và các đơn vị trực thuộc </t>
  </si>
  <si>
    <t xml:space="preserve">Sở Tư pháp và các đơn vị trực thuộc </t>
  </si>
  <si>
    <t>Sở Ngoại vụ</t>
  </si>
  <si>
    <t xml:space="preserve">Văn phòng Uỷ ban nhân dân tỉnh và các đơn vị trực thuộc </t>
  </si>
  <si>
    <t xml:space="preserve">Ban Quản lý khu kinh tế </t>
  </si>
  <si>
    <t xml:space="preserve">Ban Quản lý khu công nghiệp </t>
  </si>
  <si>
    <t xml:space="preserve">Sở Dân tộc và Tôn giáo và các đơn vị trực thuộc </t>
  </si>
  <si>
    <t xml:space="preserve">Vườn Quốc gia Hoàng Liên và các đơn vị trực thuộc </t>
  </si>
  <si>
    <t xml:space="preserve">Trung tâm Phát triển quỹ đất tỉnh </t>
  </si>
  <si>
    <t xml:space="preserve">Thanh tra tỉnh </t>
  </si>
  <si>
    <t>Văn phòng Tỉnh ủy và các đơn vị trực thuộc</t>
  </si>
  <si>
    <t>Sở Tài chính và các đơn vị trực thuộc</t>
  </si>
  <si>
    <t xml:space="preserve">Văn phòng Đoàn ĐBQH &amp; Hội đồng nhân dân tỉnh </t>
  </si>
  <si>
    <t>Cơ quan Ủy ban Mặt trận Tổ quốc Việt Nam và các tổ chức chính trị xã hội, các hội quần chúng do Đảng, Nhà nước giao nhiệm vụ trực thuộc</t>
  </si>
  <si>
    <t>Trường Chính trị</t>
  </si>
  <si>
    <t>Trường Cao đẳng Nghề Yên Bái</t>
  </si>
  <si>
    <t xml:space="preserve">Trường Cao đẳng Lào Cai và đơn vị trực thuộc </t>
  </si>
  <si>
    <t>Đại học Thái Nguyên (Phân hiệu Đại học Thái Nguyên tại Lào Cai)</t>
  </si>
  <si>
    <t>Bộ Chỉ huy quân sự tỉnh</t>
  </si>
  <si>
    <t>Ban Chỉ huy bộ đội biên phòng</t>
  </si>
  <si>
    <t>Viện kiểm sát nhân dân</t>
  </si>
  <si>
    <t>Toà án nhân dân tỉnh</t>
  </si>
  <si>
    <t>Kho bạc nhà nước khu vực IX</t>
  </si>
  <si>
    <t>Thống kê tỉnh</t>
  </si>
  <si>
    <t>Thi hành án dân sự tỉnh</t>
  </si>
  <si>
    <t xml:space="preserve">Phường Cam Đường </t>
  </si>
  <si>
    <t xml:space="preserve">Phường Lào Cai </t>
  </si>
  <si>
    <t xml:space="preserve">Xã Cốc San </t>
  </si>
  <si>
    <t xml:space="preserve">Xã Hợp Thành  </t>
  </si>
  <si>
    <t xml:space="preserve">Xã Mường Bo </t>
  </si>
  <si>
    <t xml:space="preserve">Xã Bản Hồ </t>
  </si>
  <si>
    <t xml:space="preserve">Phường Sa Pa </t>
  </si>
  <si>
    <t xml:space="preserve">Xã Tả Phìn </t>
  </si>
  <si>
    <t xml:space="preserve">Xã Tả Van </t>
  </si>
  <si>
    <t>Xã Ngũ Chỉ Sơn</t>
  </si>
  <si>
    <t>Xã Phong Hải</t>
  </si>
  <si>
    <t>Xã Xuân Quang</t>
  </si>
  <si>
    <t xml:space="preserve">Xã Tằng Loỏng </t>
  </si>
  <si>
    <t xml:space="preserve">Xã Gia Phú </t>
  </si>
  <si>
    <t xml:space="preserve">Xã Bảo Thắng </t>
  </si>
  <si>
    <t xml:space="preserve">Xã Bảo Yên </t>
  </si>
  <si>
    <t>Xã Nghĩa Đô</t>
  </si>
  <si>
    <t xml:space="preserve">Xã Thượng Hà </t>
  </si>
  <si>
    <t>Xã Xuân Hoà</t>
  </si>
  <si>
    <t xml:space="preserve">Xã Phúc Khánh </t>
  </si>
  <si>
    <t xml:space="preserve">Xã Bảo Hà </t>
  </si>
  <si>
    <t xml:space="preserve">Xã Mường Hum </t>
  </si>
  <si>
    <t>Xã Dền Sáng</t>
  </si>
  <si>
    <t>Xã Y Tý</t>
  </si>
  <si>
    <t xml:space="preserve">Xã A Mú Sung </t>
  </si>
  <si>
    <t>Xã Trịnh Tường</t>
  </si>
  <si>
    <t xml:space="preserve">Xã Bản Xèo </t>
  </si>
  <si>
    <t>Xã Bát Xát</t>
  </si>
  <si>
    <t>Xã Cốc Lầu</t>
  </si>
  <si>
    <t>Xã Bảo Nhai</t>
  </si>
  <si>
    <t xml:space="preserve">Xả Tả Củ Tỷ </t>
  </si>
  <si>
    <t>Xã Bản Liền</t>
  </si>
  <si>
    <t xml:space="preserve">Xã Lùng Phình  </t>
  </si>
  <si>
    <t xml:space="preserve">Xã Bắc Hà </t>
  </si>
  <si>
    <t>Xã Si Ma Cai</t>
  </si>
  <si>
    <t>Xã Sìn Chéng</t>
  </si>
  <si>
    <t xml:space="preserve">Xã Võ Lao </t>
  </si>
  <si>
    <t>Xã Khánh Yên</t>
  </si>
  <si>
    <t>Xã Văn Bàn</t>
  </si>
  <si>
    <t xml:space="preserve">Xã Dương Quỳ </t>
  </si>
  <si>
    <t xml:space="preserve">Xã Chiềng Ken </t>
  </si>
  <si>
    <t xml:space="preserve">Xã Minh Lương </t>
  </si>
  <si>
    <t xml:space="preserve">Xã Nậm Chày  </t>
  </si>
  <si>
    <t>Xã Nậm Xé</t>
  </si>
  <si>
    <t>Xã Pha Long</t>
  </si>
  <si>
    <t xml:space="preserve">Xã Mường Khương </t>
  </si>
  <si>
    <t>Xã Bản Lầu</t>
  </si>
  <si>
    <t>Xã Cao Sơn</t>
  </si>
  <si>
    <t>Xã Khao Mang</t>
  </si>
  <si>
    <t>Xã Mù Cang Chải</t>
  </si>
  <si>
    <t>Xã Púng Luông</t>
  </si>
  <si>
    <t>Xã Chế Tạo</t>
  </si>
  <si>
    <t>Xã Nậm Có</t>
  </si>
  <si>
    <t>Xã Lao Chải</t>
  </si>
  <si>
    <t>Xã Tú Lệ</t>
  </si>
  <si>
    <t>Xã Cát Thịnh</t>
  </si>
  <si>
    <t>Xã Trạm Tấu</t>
  </si>
  <si>
    <t>Xã Hạnh Phúc</t>
  </si>
  <si>
    <t>Xã Phình Hồ</t>
  </si>
  <si>
    <t>Xã Tà Xi Láng</t>
  </si>
  <si>
    <t>Xã Liên Sơn</t>
  </si>
  <si>
    <t>Phường Nghĩa Lộ</t>
  </si>
  <si>
    <t>Phường Trung Tâm</t>
  </si>
  <si>
    <t>Phường Cầu Thia</t>
  </si>
  <si>
    <t>Xã Gia Hội</t>
  </si>
  <si>
    <t>Xã Sơn Lương</t>
  </si>
  <si>
    <t>Xã Văn Chấn</t>
  </si>
  <si>
    <t>Xã Thượng Bằng La</t>
  </si>
  <si>
    <t>Xã Chấn Thịnh</t>
  </si>
  <si>
    <t>Xã Nghĩa Tâm</t>
  </si>
  <si>
    <t>Xã Phong Dụ Hạ</t>
  </si>
  <si>
    <t>Xã Châu Quế</t>
  </si>
  <si>
    <t>Xã Lâm Giang</t>
  </si>
  <si>
    <t>Xã Đông Cuông</t>
  </si>
  <si>
    <t>Xã Tân Hợp</t>
  </si>
  <si>
    <t>Xã Mậu A</t>
  </si>
  <si>
    <t>Xã Xuân Ái</t>
  </si>
  <si>
    <t>Xã Mỏ Vàng</t>
  </si>
  <si>
    <t>Xã Phong Dụ Thượng</t>
  </si>
  <si>
    <t>Xã Lâm Thượng</t>
  </si>
  <si>
    <t>Xã Lục Yên</t>
  </si>
  <si>
    <t>Xã Tân Lĩnh</t>
  </si>
  <si>
    <t>Xã Khánh Hoà</t>
  </si>
  <si>
    <t>Xã Phúc Lợi</t>
  </si>
  <si>
    <t>Xã Mường Lai</t>
  </si>
  <si>
    <t>Xã Cảm Nhân</t>
  </si>
  <si>
    <t>Xã Yên Thành</t>
  </si>
  <si>
    <t>Xã Thác Bà</t>
  </si>
  <si>
    <t>Xã Yên Bình</t>
  </si>
  <si>
    <t>Xã Bảo Ái</t>
  </si>
  <si>
    <t>Phường Văn Phú</t>
  </si>
  <si>
    <t>Phường Yên Bái</t>
  </si>
  <si>
    <t>Phường Nam Cường</t>
  </si>
  <si>
    <t>Phường Âu Lâu</t>
  </si>
  <si>
    <t>Xã Trấn Yên</t>
  </si>
  <si>
    <t>Xã Hưng Khánh</t>
  </si>
  <si>
    <t>Xã Lương Thịnh</t>
  </si>
  <si>
    <t>Xã Việt Hồng</t>
  </si>
  <si>
    <t>Xã Quy Mông</t>
  </si>
  <si>
    <t>Thuế Gía trị gia tăng (Thu ngoài quốc doanh)</t>
  </si>
  <si>
    <t>Thuế thu nhập doanh nghiệp (Thu ngoài quốc doanh)</t>
  </si>
  <si>
    <t>Thuế tài nguyên (Thu ngoài quốc doanh)</t>
  </si>
  <si>
    <t>ok</t>
  </si>
  <si>
    <t>Ban chỉ huy Bộ đội biên phòng</t>
  </si>
  <si>
    <t>UBND phường Nam Cường</t>
  </si>
  <si>
    <t>UBND xã Mậu A</t>
  </si>
  <si>
    <t>UBND phường Yên Bái</t>
  </si>
  <si>
    <t>UBND phường Nghĩa Lộ</t>
  </si>
  <si>
    <t>Sở Giáo dục và Đào tạo</t>
  </si>
  <si>
    <t>Sở Nông nghiệp và Môi trường</t>
  </si>
  <si>
    <t>Sở Công Thương</t>
  </si>
  <si>
    <t>Sở Tài chính</t>
  </si>
  <si>
    <t>Sở Nội vụ</t>
  </si>
  <si>
    <t>Chi cục Kiểm lâm tỉnh</t>
  </si>
  <si>
    <t>Trung tâm Đào tạo lái xe mô tô</t>
  </si>
  <si>
    <t>Trường Cao đẳng Lào Cai</t>
  </si>
  <si>
    <t>Trung tâm Giống Nông nghiệp tỉnh</t>
  </si>
  <si>
    <t>Viện Kiểm sát nhân dân tỉnh</t>
  </si>
  <si>
    <t>Ban Quản lý dự án ĐTDX tỉnh Lào Cai</t>
  </si>
  <si>
    <t>Ban Quản lý ĐT xây dựng số 1 tỉnh Lào Cai</t>
  </si>
  <si>
    <t>Ban QLDA đầu tư xây dựng CTGT tỉnh</t>
  </si>
  <si>
    <t>Ban Quản lý các khu công nghiệp</t>
  </si>
  <si>
    <t>Ban QLDA ĐTXD khu vực Bảo Thắng</t>
  </si>
  <si>
    <t>Ban QLDA ĐTXD khu vực Si Ma Cai</t>
  </si>
  <si>
    <t>Ban QLDA ĐTXD khu vực Nghĩa Lộ</t>
  </si>
  <si>
    <t>Ban QLDA-ĐTXD khu vực Văn Bàn</t>
  </si>
  <si>
    <t>Ban QLDA ĐTXD khu vực Bảo Yên</t>
  </si>
  <si>
    <t>Ban QLDA ĐTXD khu vực Sa Pa</t>
  </si>
  <si>
    <t>Ban QLDA ĐTXD khu vực Bát Xát</t>
  </si>
  <si>
    <t>Ban QLDA ĐTXD khu vực Bắc Hà</t>
  </si>
  <si>
    <t>Ban QLDA ĐTXD khu vực Trấn Yên</t>
  </si>
  <si>
    <t>Ban QLDA ĐTXD khu vực Lào Cai - Cốc San</t>
  </si>
  <si>
    <t>Ban QLDA ĐTXD khu vực Cam Đường - Hợp Thành</t>
  </si>
  <si>
    <t>Ban QLDA ĐTXD khu vực Yên Bình</t>
  </si>
  <si>
    <t xml:space="preserve">Chưa phân bổ </t>
  </si>
  <si>
    <t>DỰ TOÁN CHI ĐẦU TƯ PHÁT TRIỂN CỦA NGÂN SÁCH CẤP TỈNH CHO TỪNG CƠ QUAN, TỔ CHỨC THEO LĨNH VỰC NĂM 2026</t>
  </si>
  <si>
    <t>CHI BỔ SUNG CÓ MỤC TIÊU CHO NGÂN SÁCH XÃ</t>
  </si>
  <si>
    <t>DỰ TOÁN CHI NGÂN SÁCH CẤP TỈNH CHO TỪNG CƠ QUAN, TỔ CHỨC NĂM 2026</t>
  </si>
  <si>
    <t xml:space="preserve"> CHO TỪNG CƠ QUAN, TỔ CHỨC THEO LĨNH VỰC NĂM 2026</t>
  </si>
  <si>
    <t>NĂM 2026</t>
  </si>
  <si>
    <t>Chưa giao kế hoạch vốn 2026</t>
  </si>
  <si>
    <t>Lũy kế vốn đã bố trí đến 31/12/2025</t>
  </si>
  <si>
    <t>Bộ chỉ huy Quân sự tỉnh Lào Cai</t>
  </si>
  <si>
    <t>Cải tạo hang Thẩm Công xây dựng Sở chỉ huy trong căn cứ chiến đấu huyện Văn Chấn (Mật danh AVC-01)</t>
  </si>
  <si>
    <t>Tỉnh Lào Cai</t>
  </si>
  <si>
    <t xml:space="preserve">Bộ Chỉ huy quân sự tỉnh </t>
  </si>
  <si>
    <t>Kè chống sạt lở Trung đội Thông tin 18</t>
  </si>
  <si>
    <t>06/QĐ-UBND ngày 21/7/2025</t>
  </si>
  <si>
    <t>Đầu tư cơ sở hạ tầng phục vụ hoạt động của Trung tâm huấn luyện dự bị động viên tỉnh Yên Bái</t>
  </si>
  <si>
    <t>117/QĐ-UBND ngày 02/8/2024</t>
  </si>
  <si>
    <t>Đường hầm sở chỉ huy trong căn cứ chiến đấu, giai đoạn I (ĐH21-LK)</t>
  </si>
  <si>
    <t>Phường Lào Cai</t>
  </si>
  <si>
    <t>510/QĐ-UBND ngày 26/12/2023</t>
  </si>
  <si>
    <t>Ban Chỉ huy Bộ đội biên phòng tỉnh</t>
  </si>
  <si>
    <t>Cải tạo, sửa chữa Hội trường và Sở chỉ huy BCH BĐBP tỉnh Lào Cai</t>
  </si>
  <si>
    <t>1159/QĐ-UBND ngày 17/5/2024</t>
  </si>
  <si>
    <t>Cải tạo, xây mới một số hạng mục Đồn biên phòng Pha Long, xã Pha Long, Mường Khương</t>
  </si>
  <si>
    <t>2571/QĐ-UBND ngày 01/12/2000</t>
  </si>
  <si>
    <t>Cải tạo, xây dựng một số hạng mục của Đồn biên phòng cửa khẩu quốc tế Lào Cai cũ thành Trạm kiểm soát biên phòng Cửa khẩu quốc tế đường bộ</t>
  </si>
  <si>
    <t>1681/QĐ-UBND ngày 28/5/2025</t>
  </si>
  <si>
    <t>Công an tỉnh Lào Cai</t>
  </si>
  <si>
    <t>T. Lào Cai</t>
  </si>
  <si>
    <t>Trường Trung học phổ thông Lê Quý Đôn</t>
  </si>
  <si>
    <t>1394/QĐ-UBND ngày 09/10/2025</t>
  </si>
  <si>
    <t>Trường THPT số 2 thành phố Lào Cai</t>
  </si>
  <si>
    <t>Phường Cam Đường</t>
  </si>
  <si>
    <t xml:space="preserve"> 2104/QĐ-UBND ngày 23/9/2022;  1027/QĐ-UBND ngày 05/05/2023</t>
  </si>
  <si>
    <t>Trường Trung học phổ thông dân tộc nội trú tỉnh Lào Cai</t>
  </si>
  <si>
    <t xml:space="preserve"> 1573/QĐ-UBND ngày 13/5/2021; 3010/QĐ-UBND ngày 02/12/2022</t>
  </si>
  <si>
    <t>San gạt mặt bằng và hạ tầng kỹ thuật trường THPTDT nội trú tỉnh Lào Cai và Vùng phụ cận</t>
  </si>
  <si>
    <t>Phường Cam đường</t>
  </si>
  <si>
    <t>3027/QĐ-UBND ngày 09/9/2020; 2463/QĐ-UBND ngày 30/9/2024</t>
  </si>
  <si>
    <t>Cải tạo sửa chữa nâng cấp trường THPT số 1 huyện Bảo Thắng</t>
  </si>
  <si>
    <t>Xã Bảo Thắng</t>
  </si>
  <si>
    <t xml:space="preserve"> 3106/QĐ-UBND ngày 25/8/2021; 1026/QĐ-UBND ngày 05/05/2023</t>
  </si>
  <si>
    <t>Trường THPT số 4 thành phố Lào Cai</t>
  </si>
  <si>
    <t xml:space="preserve"> 986/QĐ-UBND ngày 16/5/2022; 3000/QĐ-UBND ngày 01/12/2022</t>
  </si>
  <si>
    <t>Trường THCS và THPT Bắc Hà: Hạng mục: nhà lớp học</t>
  </si>
  <si>
    <t xml:space="preserve"> 34/QĐ-UBND 08/01/2024; 732/QĐ-UBND ngày 09/04/2024; 2430/QĐ-UBND ngày 25/9/2024</t>
  </si>
  <si>
    <t>Trường THPT số 1 huyện Si Ma Cai</t>
  </si>
  <si>
    <t>16/NQ-HĐND ngày 15/7/2022; 1178/QĐ-UBND ngày 17/5/2023</t>
  </si>
  <si>
    <t>Trường THPT số 2 Sa Pa</t>
  </si>
  <si>
    <t>Xã Bản Hồ</t>
  </si>
  <si>
    <t>2024-2025</t>
  </si>
  <si>
    <t xml:space="preserve">1003/QĐ-UBND ngày 17/5/2022; 1420/QĐ-UBND ngày 10/06/2024 </t>
  </si>
  <si>
    <t>Trường THCS và THPT Bắc Hà: Hạng mục: nhà bán trú học sinh+ bếp ăn, san nền và các hạng mục phụ trợ</t>
  </si>
  <si>
    <t>2025-2026</t>
  </si>
  <si>
    <t>34/QĐ-UBND ngày 08/01/2024; 35/NQ-HĐND ngày 05/07/2024</t>
  </si>
  <si>
    <t>Trường THPT số 1 huyện Bắc Hà</t>
  </si>
  <si>
    <t>16 /NQ-HĐND ngày 15/7/2022; 811-15/4/2024</t>
  </si>
  <si>
    <t>Trường THPT số 1 huyện Mường Khương</t>
  </si>
  <si>
    <t>Xã Mường Khương</t>
  </si>
  <si>
    <t xml:space="preserve"> 2104/QĐ-UBND ngày 23/9/2022; 41/NQ-HĐND ngày 7/12/2022;  938/QĐ-UBND ngày 26/4/2024</t>
  </si>
  <si>
    <t>Trường THCS xã Si Ma Cai, huyện Si Ma Cai (8 phòng học, 4 phòng chức năng)</t>
  </si>
  <si>
    <t xml:space="preserve"> 21/QĐ-UBND ngày  05/01/2024</t>
  </si>
  <si>
    <t>Nâng cấp trường TH số 1 thị trấn Si Ma Cai, huyện Si Ma Cai</t>
  </si>
  <si>
    <t xml:space="preserve"> 28/QĐ-UBND ngày 18/05/2023</t>
  </si>
  <si>
    <t>Nhà đa năng cụm trường Tiểu học, Trung học cơ sở thị trấn Si Ma Cai, huyện Si Ma Cai</t>
  </si>
  <si>
    <t xml:space="preserve"> 75/QĐ-UBND ngày  16/09/2024</t>
  </si>
  <si>
    <t>Khắc phục khẩn cấp trường mầm non Đồng Khê, huyện Văn Chấn</t>
  </si>
  <si>
    <t>1262/QĐ-UBND ngày 15/6/2025</t>
  </si>
  <si>
    <t>Trường TH&amp;THCS Suối Bu</t>
  </si>
  <si>
    <t>2526/QĐ-UBND ngày 10/12/2024</t>
  </si>
  <si>
    <t>Trường PTDTBT TH&amp;THCS Mồ Dề</t>
  </si>
  <si>
    <t>Xã Mồ Dề</t>
  </si>
  <si>
    <t>1507/QĐ-UBND ngày 26/6/2025</t>
  </si>
  <si>
    <t>Trường PTDTBT TH&amp;THCS Túc Đán, xã Túc Đán, huyện Trạm Tấu</t>
  </si>
  <si>
    <t>826/QĐ-UBND ngày 21/4/2025</t>
  </si>
  <si>
    <t>Trường TH số 1 Xuân Quang (Sáp nhập giữa trường TH số 1 với trường TH số 4 Xuân Quang)</t>
  </si>
  <si>
    <t>1822/QĐ-UBND ngày  19/8/2022</t>
  </si>
  <si>
    <t>Trường TH số 2 TTNT Phong Hải, huyện Bảo Thắng</t>
  </si>
  <si>
    <t>421/QĐ-UBND ngày  28/02/2023</t>
  </si>
  <si>
    <t>Trường MN số 2 thị trấn NT Phong Hải</t>
  </si>
  <si>
    <t>1330/QĐ-UBND ngày  31/04/2023</t>
  </si>
  <si>
    <t>Trường THCS số 2 TTNT Phong Hải, huyện Bảo Thắng (Cơ sở 2)</t>
  </si>
  <si>
    <t>437/QĐ-UBND ngày  11/3/2024</t>
  </si>
  <si>
    <t>Trường tiểu học thị trấn Khánh Yên, huyện Văn Bàn (Mở rộng diện tích sang trường THCS)</t>
  </si>
  <si>
    <t>Trường THPT số 1 huyện Văn Bàn</t>
  </si>
  <si>
    <t>Trường mầm non Hoa Sen, thị trấn Khánh Yên</t>
  </si>
  <si>
    <t>Trường Mầm non số 2 Thượng Hà huyện Bảo Yên</t>
  </si>
  <si>
    <t>Xã Thượng Hà</t>
  </si>
  <si>
    <t>1268/QĐ-UBND ngày 24/6/2024</t>
  </si>
  <si>
    <t>Trường Mầm non Hoa Mai thị trấn Phố Ràng huyện Bảo Yên</t>
  </si>
  <si>
    <t>Xã Bảo Yên</t>
  </si>
  <si>
    <t>2644/QĐ-UBND ngày 27/10/2023</t>
  </si>
  <si>
    <t>Trường MN Hoa Sen xã Bảo Hà</t>
  </si>
  <si>
    <t>Xã Bảo Hà</t>
  </si>
  <si>
    <t>2897/QĐ-UBND ngày 12/11/2024</t>
  </si>
  <si>
    <t>Trường TH số 2 Phố Ràng</t>
  </si>
  <si>
    <t>4820/QĐ-UBND ngày 18/11/2022</t>
  </si>
  <si>
    <t>Trường THCS số 1 Kim Sơn huyện Bảo Yên</t>
  </si>
  <si>
    <t>2991/QĐ-UBND ngày 18/8/2022</t>
  </si>
  <si>
    <t>Trường THCS số 1 Cam Cọn huyện Bảo Yên</t>
  </si>
  <si>
    <t>2994/QĐ-UBND ngày 18/8/2022; 1561/QĐ-UBND ngày 26/5/2023</t>
  </si>
  <si>
    <t>Trường PTDTBT THCS Lao Chải, xã Lao Chải, thị xã Sa Pa</t>
  </si>
  <si>
    <t>Xã Tả Van</t>
  </si>
  <si>
    <t>3493/QĐ-UBND ngày  30/10/2018;
3154/QĐ-UBND ngày  27/08/2021</t>
  </si>
  <si>
    <t>Trường THCS Nậm Cang, xã Liên Minh</t>
  </si>
  <si>
    <t>Xã Mường Bo</t>
  </si>
  <si>
    <t xml:space="preserve"> 3625/QĐ-UBND ngày  02/11/2023;
 2983/QĐ-UBND ngày  23/04/2025</t>
  </si>
  <si>
    <t>Trường Tiểu học Sử Pán, xã Mường Hoa</t>
  </si>
  <si>
    <t xml:space="preserve"> 4189/QĐ-UBND ngày  04/12/2023;
 3799/QĐ-UBND ngày  21/11/2024;
 2984/QĐ-UBND ngày  23/04/2025</t>
  </si>
  <si>
    <t>Trường TH&amp;THCS Võ Thị Sáu, phường Ô Quý Hồ, thị xã Sa Pa.</t>
  </si>
  <si>
    <t>Phường Sa Pa</t>
  </si>
  <si>
    <t xml:space="preserve"> 1554/QĐ-UBND ngày  28/06/2023;
 1255/QĐ-UBND ngày  23/04/2025</t>
  </si>
  <si>
    <t>Trường Tiểu học Bản Khoang, xã Ngũ Chỉ Sơn</t>
  </si>
  <si>
    <t xml:space="preserve"> 1375/QĐ-UBND ngày  06/06/2023;
 1254/QĐ-UBND ngày  23/04/2025</t>
  </si>
  <si>
    <t>Trường PTDTBT Tiểu học Bản Khoang 1, xã Ngũ Chỉ Sơn</t>
  </si>
  <si>
    <t xml:space="preserve"> 1409/QĐ-UBND ngày  12/06/2023</t>
  </si>
  <si>
    <t>Trường TH&amp;THCS Lê Văn Tám, Phường Hàm Rồng</t>
  </si>
  <si>
    <t xml:space="preserve"> 1367/QĐ-UBND ngày  06/06/2023;
 2696/QĐ-UBND ngày  23/10/2024</t>
  </si>
  <si>
    <t>Trường Tiểu học Hàm Rồng, Phường Hàm Rồng</t>
  </si>
  <si>
    <t xml:space="preserve"> 1563/QĐ-UBND ngày  26/06/2024</t>
  </si>
  <si>
    <t>Trường PTDTBT THCS Bản Hồ, xã Bản Hồ</t>
  </si>
  <si>
    <t xml:space="preserve"> 2189/QĐ-UBND ngày  06/09/2023</t>
  </si>
  <si>
    <t>Trường MN Bản Hồ, thị xã Sa Pa</t>
  </si>
  <si>
    <t xml:space="preserve"> 2188/QĐ-UBND ngày  06/9/2023</t>
  </si>
  <si>
    <t>Trường TH và THCS Cầu Mây, thị xã Sa Pa</t>
  </si>
  <si>
    <t xml:space="preserve"> 2187/QĐ-UBND ngày  06/09/2023;
 1253/QĐ-UBND ngày  23/04/2025</t>
  </si>
  <si>
    <t>Trường THCS Thị trấn Bát Xát</t>
  </si>
  <si>
    <t>Trường PTDTBT TH Trịnh Tường</t>
  </si>
  <si>
    <t>Trường MG Dền Thàng xã Dền Thàng huyện Bát Xát</t>
  </si>
  <si>
    <t>Trường PTDTBT TH Sàng Ma Sáo</t>
  </si>
  <si>
    <t>CHI Y TẾ, DÂN SỐ GIA ĐÌNH</t>
  </si>
  <si>
    <t>Ban QLDA đầu tư xây dựng tỉnh Lào Cai</t>
  </si>
  <si>
    <t>Dự án Đầu tư Nâng cấp Bệnh viện Đa khoa huyện Bảo Thắng tỉnh Lào Cai, giai đoạn 2</t>
  </si>
  <si>
    <t>Dự án Đầu tư Xây dựng Trung tâm Y tế huyện Si Ma Cai, tỉnh Lào Cai</t>
  </si>
  <si>
    <t>Cải tạo Sửa chữa  Trung tâm Y tế huyện Si Ma Cai, tỉnh Lào Cai, HM: HT xử lý nước thải</t>
  </si>
  <si>
    <t xml:space="preserve"> 3400/QĐ-UBND ngày 31/12/2022;  DA 1738 ngày 11/7/2024</t>
  </si>
  <si>
    <t xml:space="preserve">Bệnh viện Đa khoa huyện Bát Xát </t>
  </si>
  <si>
    <t>41/NQ-HĐND ngày 04/12/2020; 4284/QĐ-UBND ngày 09/12/2021; 229/QĐ-UBND ngày 7/02/2025</t>
  </si>
  <si>
    <t>Kè, tường rào bảo vệ Bệnh viện Y học cổ truyền và Bệnh viện Nội tiết tỉnh Lào Cai</t>
  </si>
  <si>
    <t xml:space="preserve"> 1784-QĐ-UBND ngày 21/7/2023; 2898/QĐ-UBND ngày 16/11/2023;  1275/QĐ-UBND ngày 23/4/2025</t>
  </si>
  <si>
    <t>Cải tạo nâng cấp HT xử lý nước thải Bệnh viện Đa khoa huyện Bảo Thắng</t>
  </si>
  <si>
    <t xml:space="preserve"> 3768/QĐ-UBND ngày 25/10/2021; 3400/QĐ-UBND ngày 31/12/2022</t>
  </si>
  <si>
    <t>Trung tâm Y tế huyện Bắc Hà</t>
  </si>
  <si>
    <t>Xã Bắc Hà</t>
  </si>
  <si>
    <t xml:space="preserve"> 2905/QĐ-UBND ngày 25/11/2022</t>
  </si>
  <si>
    <t>Ban QLDA đầu tư xây dựng KV Bắc Hà</t>
  </si>
  <si>
    <t>CHI HOẠT ĐỘNG BẢO VỆ MÔI TRƯỜNG</t>
  </si>
  <si>
    <t>Dự án Cải tạo, nâng cấp nhà máy xử lý nước thải Đông Phố Mới, thành phố Lào Cai</t>
  </si>
  <si>
    <t xml:space="preserve">1064/QĐ-UBND/QĐ-UBND ngày  ngày 26/5/2022; 2457/QĐ-UBND 10/10/2023  </t>
  </si>
  <si>
    <t>Đường gom nước thải nhà máy xử lý nước thải Tằng Lỏong, huyện Bảo Thắng, tỉnh Lào Cai</t>
  </si>
  <si>
    <t>Xã Tằng Lỏong</t>
  </si>
  <si>
    <t>1229/QĐ-UBND ngày 24/5/2024</t>
  </si>
  <si>
    <t>Dự án Hệ thống xử lý nước thải  khu công nghiệp Tằng Loỏng (giai đoạn 2)</t>
  </si>
  <si>
    <t xml:space="preserve"> Xã Tằng 
Lỏong</t>
  </si>
  <si>
    <t>3785/QĐ-UBND ngày 30/10/2015; 329/QĐ-UBND ngày 31/01/2019; 3643/QĐ-UBND ngày 27/10/2020; 1051/QĐ-UBND ngày 25/05/2022; 444/QĐ-UBND ngày 02/03/2023; 3164/QĐ-UBND ngày 27/11/2024</t>
  </si>
  <si>
    <t>Đo đạc, lập bản đồ địa chính đối với đất đai có nguồn gốc từ các lâm trường, công ty nông, lâm nghiệp, công ty chè trên địa bàn tỉnh Yên Bái</t>
  </si>
  <si>
    <t xml:space="preserve"> 1193/QĐ-UBND ngày 09/6/2025</t>
  </si>
  <si>
    <t>Nâng cấp mặt đường Âu Cơ (đoạn Km5+300 - Km10+500), thành phố Yên Bái và huyện Trấn Yên</t>
  </si>
  <si>
    <t>269/QĐ-UBND ngày 18/02/2025</t>
  </si>
  <si>
    <t>Sửa chữa,bổ sung hệ thống an toàn trên các tuyến đường</t>
  </si>
  <si>
    <t>314/QĐ-UBND ngày 10/7/2025</t>
  </si>
  <si>
    <t>Sửa chữa hư hỏng nền, mặt đường, hệ thống thoát nước và hệ thống an toàn giao thông đoạn Km35+600 - Km40+350, Km40+850 - Km41+500 đường Yên Bái - Khe Sang (ĐT.163), tỉnh Yên Bái</t>
  </si>
  <si>
    <t>565/QĐ-UBND ngày 21/7/2025</t>
  </si>
  <si>
    <t>Sửa chữa hư hỏng nền, mặt đường, hệ thống thoát nước và hệ thống an toàn giao thông đoạn Km1+100 - Km3+420 và sửa chữa hệ thống thoát nước tại lý trình Km11+100, Km11+500, Km12+200 đường Yên Thế - Vĩnh Kiên (ĐT.170), tỉnh Yên Bái</t>
  </si>
  <si>
    <t>1592/QĐ-UBND ngày 28/6/2025</t>
  </si>
  <si>
    <t>Cải tạo, sửa chữa đoạn từ Km32-Km34 đường tỉnh 159, huyện Bắc Hà , tỉnh Lào Cai</t>
  </si>
  <si>
    <t>3580/QĐ-UBND ngày 30/12/2024</t>
  </si>
  <si>
    <t>Khắc phục khẩn cấp công trình điện nông thôn bị ảnh hưởng do thiên tai năm 2024 trên địa bàn tỉnh Yên Bái (nay là tỉnh Lào Cai)</t>
  </si>
  <si>
    <t>1859/QĐ-UBND ngày 03/11/2025</t>
  </si>
  <si>
    <t>1910/QĐ-UBND ngày 22/10/2014; 1202/QĐ-UBND ngày 18/6/2021; 3086/QĐ-UBND ngày 31/12/2021</t>
  </si>
  <si>
    <t>Lập điều chỉnh Quy hoạch tỉnh Lào Cai thời kỳ 2021-2030, tầm nhìn đến năm 2050</t>
  </si>
  <si>
    <t>1521/QĐ-UBND ngày 22/10/2025</t>
  </si>
  <si>
    <t>Quy hoạch chi tiết xây dựng Cơ sở Cai nghiện ma túy số 1 tỉnh Lào Cai, xã Xuân Quang, huyện Bảo Thắng</t>
  </si>
  <si>
    <t>2480/QĐ-UBND ngày14/7/2021</t>
  </si>
  <si>
    <t>Ban QLDA ĐTXD số 1 tỉnh Lào Cai</t>
  </si>
  <si>
    <t>724/QĐ-TTg  28/4/2016; QĐ 3154/QĐ-UBND  05/12/2017; 14/NQ-HĐND ngày 19/4/2024</t>
  </si>
  <si>
    <t>Dự án nâng cấp và cải tạo hệ thống cấp nước sạch tập trung gắn với phát triển nông nghiệp bền vững tại thị trấn Nông trường Liên Sơn, huyện Văn Chấn, tỉnh Yên Bái</t>
  </si>
  <si>
    <t>Huyện Văn Chấn, tỉnh Yên Bái</t>
  </si>
  <si>
    <t>QĐ số 1326/QĐ-UBND ngày 19/6/2025</t>
  </si>
  <si>
    <t>Dự án Phát triển Nông thôn Thích ứng với Thiên tai tỉnh Yên Bái</t>
  </si>
  <si>
    <t>QĐ 1593/QĐ-TTg ngày 23/12/2022 của TTCP; QĐ 1505/QĐ-UBND ngày 26/6/2025</t>
  </si>
  <si>
    <t>Dự án Khắc phục, xử lý tình trạng ngập, úng ven sông Hồng, khu vực trung tâm tỉnh Lào Cai và vùng phụ cận</t>
  </si>
  <si>
    <t>Các phường: Yên Bái, phường Âu Lâu, phường Văn Phú, phường Nam Cường và xã Trấn Yên</t>
  </si>
  <si>
    <t>3887/UBND-TH ngày 11/11/2025</t>
  </si>
  <si>
    <t>Dự án chuẩn bị đầu tư</t>
  </si>
  <si>
    <t>1721/QĐ-UBND ngày 13/8/2021; 1863/QĐ-UBND ngày 13/10/2023</t>
  </si>
  <si>
    <t>396/QĐ-UBND ngày 27/3/2023; 2520/QĐ-UBND ngày 25/12/2023; 752/QĐ-UBND ngày 10/4/2025</t>
  </si>
  <si>
    <t>Ban Quản lý ĐT xây dựng tỉnh Lào Cai</t>
  </si>
  <si>
    <t>Quy hoạch chi tiết xây dựng Trường THPT chuyên Lào Cai</t>
  </si>
  <si>
    <t xml:space="preserve"> 2140/QĐ-UBND ngày 26/9/2022; 667/QĐ-UBND ngày 10/3/2025</t>
  </si>
  <si>
    <t>Điều chỉnh quy hoạch phân khu xây dựng đô thị du lịch ý tý Ngàn năm, huyện Bát Xát, tỉnh Lào Cai</t>
  </si>
  <si>
    <t xml:space="preserve"> 1400/QĐ-UBND ngày 07/06/2024</t>
  </si>
  <si>
    <t>Điều chỉnh quy hoạch phân khu xây dựng đô thị du lịch ý tý Ngàn Sao, huyện Bát Xát, tỉnh Lào Cai</t>
  </si>
  <si>
    <t xml:space="preserve"> 1401/QĐ-UBND ngày UBND ngày 07/06/2024</t>
  </si>
  <si>
    <t>Điều chỉnh quy hoạch phân khu xây dựng đô thị du lịch ý tý Ngàn Mây, huyện Bát Xát, tỉnh Lào Cai</t>
  </si>
  <si>
    <t xml:space="preserve"> 1399/QĐ-UBND ngày UBND ngày 07/06/2024</t>
  </si>
  <si>
    <t>Điều chỉnh Quy hoạch chung xây dựng Khu kinh tế cửa khẩu Lào Cai,  tỉnh Lào Cai đến năm 2045</t>
  </si>
  <si>
    <t>2419/QĐ-UBND ngày 06/10/2023</t>
  </si>
  <si>
    <t>Hạ tầng kỹ thuật lô đất LK2 đường D3 (khu dân cư B5-B6) tổ 12, phường Nam Cường</t>
  </si>
  <si>
    <t>2404/QĐ-UBND ngày 09/07/2021</t>
  </si>
  <si>
    <t>Quy hoạch chung xây dựng Khu du lịch quốc gia Sa Pa</t>
  </si>
  <si>
    <t xml:space="preserve"> 2480/QĐ-UBND ngày 31/7/2020</t>
  </si>
  <si>
    <t>Quy hoạch chung xây dựng kết nối đầu tư du lịch Y tý và vùng phụ cận huyện Bát Xát</t>
  </si>
  <si>
    <t xml:space="preserve"> 1459/QĐ-UBND ngày 06/5/2021</t>
  </si>
  <si>
    <t>Quy hoạch chi tiết xây dựng công viên văn hóa Lào Cai</t>
  </si>
  <si>
    <t xml:space="preserve"> 897/QĐ-UBND ngày 19/4/2023</t>
  </si>
  <si>
    <t>Dự án Kè sông hồng di dân tái định cư khu vực Cánh Chín, xã Vạn Hoà thành thành phố Lào Cai</t>
  </si>
  <si>
    <t xml:space="preserve"> 3250/QĐ-UBND ngày 30/10/2014; số: 1151/QĐ-UBND ngày 13/4/2017; số: 5193/QĐ-UBND ngày 21/11/2017; số: 621/QĐ-UBND ngày 11/3/2020; số: 3676/QĐ-UBND ngày 14/10/2021; số: 969/QĐ-UBND ngày 12/5/2022; số: 2714/QĐ-UBND ngày 02/11/2023 </t>
  </si>
  <si>
    <t>Hồ điều phối lũ thành phố Lào Cai, tỉnh Lào Cai (Cải suối Ngòi Đường)</t>
  </si>
  <si>
    <t>4321/QĐ-UBND ngày 31/12/2014; 19/NQ-HĐND ngày 06/2/2023; 855/QĐ-UBND ngày 19/4/2024</t>
  </si>
  <si>
    <t>Kè biên giới sông Hồng đoạn Mốc 97 xã Bản qua huyện Bát Xát</t>
  </si>
  <si>
    <t xml:space="preserve"> 167/QĐ-UBND ngày 6/6/2019</t>
  </si>
  <si>
    <t>Kè chống sạt lở bờ hữu Sông Hồng, thành phố Lào Cai giai đoạn 1</t>
  </si>
  <si>
    <t>4416/-BNN ngày 30/10/2017</t>
  </si>
  <si>
    <t>Quy hoạch chi tiết xây dựng khu vực Trường trung học phổ thông dân tộc nội trú tỉnh Lào Cai</t>
  </si>
  <si>
    <t xml:space="preserve"> 2996/QĐ-UBND ngày 20/8/2021</t>
  </si>
  <si>
    <t>Quy hoạch chung xây dựng dọc tuyến sông Hồng kết nối đô thị thành phố Lào Cai với Đô thị Phố Lu</t>
  </si>
  <si>
    <t xml:space="preserve"> 56/QĐ-UBND ngày 12/01/2021;2834/QĐ-UBND ngày 9/8/2021</t>
  </si>
  <si>
    <t>Hoàn chỉnh các hạng mục phục vụ công tác phân luồng tại cửa khẩu Kim Thành</t>
  </si>
  <si>
    <t xml:space="preserve">580/QĐ-UBND ngày 26/3/2024; 32/QĐ-BDA ngày 17/6/2024; 86/QĐ-BDA ngày 23/12/2024 </t>
  </si>
  <si>
    <t>Cải tạo nâng cấp, Công viên Hồ Chí Minh Phường Lào Cai (Giai đoạn 2)</t>
  </si>
  <si>
    <t xml:space="preserve"> 621/QĐ-UBND ngày 28/03/2024; 2486/QĐ-UBND ngày 01/10/2024</t>
  </si>
  <si>
    <t>Cải tạo, sửa chữa thiết kế không gian trưng bày nhà du lịch Sa Pa</t>
  </si>
  <si>
    <t>1739/QĐ-UBND ngày 18/7/2023; 3058/QĐ-UBND ngày 30/11/2023; 2727/QĐ-UBND ngày 25/10/2024</t>
  </si>
  <si>
    <t>Công viên văn hóa Lào cai</t>
  </si>
  <si>
    <t xml:space="preserve"> 2104/QĐ-UBND ngày 23/9/2022; 41/NQ-HĐND ngày 7/12/2022; 02/NQ-HĐND ngày 15/01/2024; 1613/QĐ-UBND ngày 22/5/2025</t>
  </si>
  <si>
    <t>Chỉnh trang và hoàn chỉnh các hạng mục trong khu vực cửa khẩu Quốc tế đường bộ số II Kim Thành</t>
  </si>
  <si>
    <t>255/QĐ-UBND ngày 06/02/2023; 2349/QĐ-BQL ngày 28/9/2023</t>
  </si>
  <si>
    <t>Hoàn thiện hạ tầng kỹ thuật phục vụ đấu giá QSD đất khu vực Đông Hà và hai bên đường D1 (Võ Nguyên Giáp) đoạn từ cầu Làng Chiềng đến cầu Ngòi Đường, phường Cam Đường, tỉnh Lào Cai</t>
  </si>
  <si>
    <t>Phường Cam Đường, tỉnh Lào Cai</t>
  </si>
  <si>
    <t xml:space="preserve"> 1183/QĐ-UBND ngày 20/9/2025</t>
  </si>
  <si>
    <t>Hoàn thiện hạ tầng kỹ thuật phục vụ đấu giá QSD đất khu vực Soi Lần, phường Cam Đường, tỉnh Lào Cai</t>
  </si>
  <si>
    <t>Xây dựng bãi đỗ xe xuất khẩu KB2</t>
  </si>
  <si>
    <t xml:space="preserve"> 985/QĐ-UBND ngày 02/04/2025</t>
  </si>
  <si>
    <t>Hạ tầng kỹ thuật trung tâm hành chính mới huyện Sa Pa. HM: Tuyến đường giao thông HCI, san gạt mặt bằng, hệ thống thoát nước</t>
  </si>
  <si>
    <t>4832/QĐ-UBND ngày 30/10/2017</t>
  </si>
  <si>
    <t>Xây dựng hàng rào ranh giới, khu vực cửa khẩu Quốc tế  đường bộ số II, Kim Thành</t>
  </si>
  <si>
    <t xml:space="preserve"> 2769/QĐ-UBND ngày 30/10/2024</t>
  </si>
  <si>
    <t>San gạt mặt bằng và hạ tầng kỹ thuật Khu đô thị mới tổ 11, Phường Bắc Lệnh, TP Lào Cai</t>
  </si>
  <si>
    <t xml:space="preserve">4282QĐ-UBND ngày 09/12/2021; </t>
  </si>
  <si>
    <t>Quỹ đất</t>
  </si>
  <si>
    <t>SGMB và HTKT khu đô thị Tân Lập, P Bắc cường, TP lào Cai</t>
  </si>
  <si>
    <t xml:space="preserve"> 44/QĐ-UBND ngày 08/12/2021; NQ 44-04/12/2021; 44/08/12/2021</t>
  </si>
  <si>
    <t>Dự án Hạ tầng kỹ thuật sau kè bờ tả sông Hồng (đoạn từ câu Phố Mới đến khu vực cầu Giang Đông), thành phố Lào Cai</t>
  </si>
  <si>
    <t xml:space="preserve">2882/QĐ-UBND ngày 15/11/2023 </t>
  </si>
  <si>
    <t>Dự án Hạ tầng kỹ thuật tiểu khu đô thị số 15, thành phố Lào Cai</t>
  </si>
  <si>
    <t xml:space="preserve">2673/QĐ-UBND ngày 09/11/2022; : 2350/QĐ-UBND ngày 28/9/2023 </t>
  </si>
  <si>
    <t>San gạt mặt bằng và hạ tầng kỹ thuật khu dân cư Sơn Mãn, xã Vạn Hoà, Lào Cai</t>
  </si>
  <si>
    <t>Tiểu khu đô thị số 13</t>
  </si>
  <si>
    <t>1166/UBND-28/4/2020;QĐ 2234/QĐ-UBND ngày 30/6/2021</t>
  </si>
  <si>
    <t>San gạt MB và xây dựng các tuyến đường BM2 (nối từ đường BM1 đến đường XT1), đường BM3 (nối từ đường BM2 đến XT1) và các tuyến đường ngang (nối giữa đường BM2 và BM3), BM4, BM5, BM6 phường Bình Minh; phường Xuân Tăng, TP. Lào Cai</t>
  </si>
  <si>
    <t>3253QĐ-UBND ngày 30/10/2014;728QĐ-UBND ngày 27/3/2019; 2064QĐ-UBND ngày 25/6/2025</t>
  </si>
  <si>
    <t>San gạt mặt bằng, hạ tầng kỹ thuật và xây dựng các tuyến đường M6, M7, M8, M9 phường Bắc Cường, TP Lào Cai</t>
  </si>
  <si>
    <t>18/QĐ-UBND ngày 07/01/2021; 2940/QĐ-UBND ngày 02/10/2024</t>
  </si>
  <si>
    <t>San gạt mặt bằng hai bên đường D1, Đoạn từ KM0+750 (nút giao đường B1)-km9+353(Nút giao đại lộ Trần Hưng Đạo), TP Lào Cai</t>
  </si>
  <si>
    <t>697/QĐ-UBND ngày 15/03/2016, 3313/QĐ-UBND ngày 18/10/2018, 913/QĐ-UBND ngày 07/4/2020, 946/QĐ-UBND ngày 09/5/2022</t>
  </si>
  <si>
    <t>Hạ tầng kỹ thuật khu đô thị bờ Hữu suối Ngòi Đum (Khu vực trường Trung cấp Y cũ), phường Bắc Cường, thành phố Lào Cai</t>
  </si>
  <si>
    <t>3548/QĐ-UBND ngày 31/10/2018; 1461/QĐ-UBND ngày 8/5/2025</t>
  </si>
  <si>
    <t xml:space="preserve">Dự án phát triển nông thôn thích ứng với thiên tai tỉnh Lào Cai </t>
  </si>
  <si>
    <t>QĐ số 1076/QĐ-TTg ngày 04/6/2025</t>
  </si>
  <si>
    <t>Dự án phát triển hạ tầng và đô thị bền vững tỉnh Lào Cai</t>
  </si>
  <si>
    <t>QĐ số 1040/QĐ-TTg ngày 12/9/2023</t>
  </si>
  <si>
    <t>Dự án đường kết nối ga Phố Mới (Lào Cai)-  ga Bảo Hà, huyện Bảo Yên và Trung tâm Văn Bàn - Văn Yên (Yên Bái), giai đoạn 1</t>
  </si>
  <si>
    <t>Xã Bảo Hà, Xã Bảo Yên, Phường Lào Cai</t>
  </si>
  <si>
    <t xml:space="preserve"> 2841a/QĐ-UBND ngày 10/8/2022</t>
  </si>
  <si>
    <t>Dự án Cải tạo nâng cấp TL154, TL160 kết nối huyện Mường Khương, huyện Bắc Hà, tỉnh Lào Cai</t>
  </si>
  <si>
    <t>Xã Mường Khương, Xã Cốc Lầu</t>
  </si>
  <si>
    <t>1844/QĐ-UBND ngày 22/8/2022:
 862/QĐ-UBND ngày 28/3/2025</t>
  </si>
  <si>
    <t>Cải tạo, nâng cấp TL153 đoạn Km19-Km24 và TL159 đoạn Km34-Km38</t>
  </si>
  <si>
    <t xml:space="preserve"> 1934/QĐ-UBND ngày  18/6/2025</t>
  </si>
  <si>
    <t>Xử lý hệ thống tiêu thoát lũ khu vực trung tâm thị trấn Si Ma Cai</t>
  </si>
  <si>
    <t xml:space="preserve"> 1354/QĐ-UBND ngày  28/4/2025</t>
  </si>
  <si>
    <t>Hoàn chỉnh, chỉnh trang hệ thống an toàn giao thông trên các tuyến đường tỉnh, tỉnh Lào Cai</t>
  </si>
  <si>
    <t>1870/QĐ-UBND ngày 25/07/2024</t>
  </si>
  <si>
    <t>Cải tạo, nâng cấp tỉnh lộ 156 đoạn Bản Vược - Ngòi Phát và tỉnh lộ 158 đoạn Ngải Thầu - A Mú Sung huyện Bát Xát, tỉnh Lào Cai</t>
  </si>
  <si>
    <t>Xã A Mú Sung, Ngải Thầu Bát Xát</t>
  </si>
  <si>
    <t>408/QĐ-UBND ngày 27/2/2023</t>
  </si>
  <si>
    <t>Cải tạo, nâng cấp Tỉnh lộ 152B đoạn Thanh Phú – Nậm Cang (Km0-Km13)</t>
  </si>
  <si>
    <t>372/QĐ-UBND ngày 24/02/2023/QĐ-UBND ngày  77/NQ-HĐND ngày 06/12/2024</t>
  </si>
  <si>
    <t>Cải tạo, nâng cấp Tỉnh lộ 154 đoạn Tả Thàng - Cốc Ly (Km74-Km88)</t>
  </si>
  <si>
    <t>Xã Cao Sơn, xã Cốc Ly</t>
  </si>
  <si>
    <t xml:space="preserve"> 407/QĐ-UBND ngày 27/02/2023</t>
  </si>
  <si>
    <t>Dự án thành phần 1: Xây dựng cầu biên giới qua sông Hồng; nâng cấp tỉnh lộ 156 đoạn Kim Thành - Ngòi Phát đoạn từ nút giao với đường BV32 và BV28 đến giao với đường BV19 thuộc dự án: Cầu biên giới qua sông Hồng tại xã Bản Vược</t>
  </si>
  <si>
    <t>1415/QĐ-UBND ngày 22/6/2022</t>
  </si>
  <si>
    <t>Dự án Thành phần 2: Nâng cấp tỉnh lộ 156  (Kim Thành - Ngòi Phát đoạn từ cầu Quang Kim  đến nút giao với đường BV 32 và BV 28 và san gạt mặt bằng hai bên đường với chiều sâu 50m)</t>
  </si>
  <si>
    <t>1743/QĐ-UBND ngày 26/5/2021; 1993/QĐ-UBND ngày 05/8/2024</t>
  </si>
  <si>
    <t>Dự án Đường nối đường cao tốc Nội Bài - Lào Cai đến thị trấn Sa Pa theo hình thức hợp đồng Xây dựng - Kinh doanh - Chuyển giao</t>
  </si>
  <si>
    <t xml:space="preserve"> 2193/QĐ-UBND ngày 15/7/2015,
  3020/QĐ-UBND ngày 28/9/2018</t>
  </si>
  <si>
    <t>Cải tạo, nâng cấp tỉnh lộ 151B đoạn từ cầu Hòa Mạc đến QL279 (Km10+800 - Km15+800), huyện Văn Bàn</t>
  </si>
  <si>
    <t>2056/QĐ-UBND ngày 21/8/2023</t>
  </si>
  <si>
    <t>Cải tạo, nâng cấp Tỉnh lộ 151B đoạn Nậm Tha - Phong Dụ Hạ (Km47-Km50+890)</t>
  </si>
  <si>
    <t>Xã Chiềng Ken</t>
  </si>
  <si>
    <t>1855/QĐ-UBND ngày 13/6/2025</t>
  </si>
  <si>
    <t>Cải tạo, nâng cấp tỉnh lộ 151B đoạn Chiềng Ken - Nậm Tha (Km23-Km47)</t>
  </si>
  <si>
    <t>2220/QĐ-UBND ngày 27/6/2025</t>
  </si>
  <si>
    <t>Dự án Cải tạo, nâng cấp tỉnh lộ 159 đoạn Si Ma Cai - Hoàng Thu Phố (đoạn Km0-Km26)</t>
  </si>
  <si>
    <t>Xã Bắc Hà, Si Ma Cai</t>
  </si>
  <si>
    <t>2658/QĐ-UBND ngày 8/11/2022, NQ 77/HĐND ngày 06/12/2024</t>
  </si>
  <si>
    <t>Cải tạo, nâng cấp Tỉnh lộ 160 đoạn QL279 đi Xuân Thượng (Km41-Km63), huyện Bảo Yên, tỉnh Lào Cai</t>
  </si>
  <si>
    <t>Xã Xuân Hòa</t>
  </si>
  <si>
    <t>406/QĐ-UBND ngày 27/02/2023; 1851 ngày 12/6/2025</t>
  </si>
  <si>
    <t>Xây dựng đường tỉnh lộ 155 đoạn từ cầu Móng Sến đến Sa Pả (Km13+800-Km20+272)</t>
  </si>
  <si>
    <t xml:space="preserve"> 540/QĐ-UBND ngày 21/5/2024</t>
  </si>
  <si>
    <t>Dự án: Xây dựng đường chạy dọc sông Hồng kết nối cửa khẩu Bản Vược đến Y Tý, đoạn từ Km4+300 đến Km7+500, tuyến nhánh nối và cầu qua suối Ngòi Phát</t>
  </si>
  <si>
    <t>Xã Bát Xát, xã Trịnh Tường</t>
  </si>
  <si>
    <t>2805/QĐ-UBND ngày 01/11/2024</t>
  </si>
  <si>
    <t>Cải tạo, nâng cấp đường tỉnh 156 đoạn Bản Vược - Ngòi Phát (Km12+000 - Km17+000)</t>
  </si>
  <si>
    <t>Xã Bát xát</t>
  </si>
  <si>
    <t xml:space="preserve"> 2518/QĐ-UBND ngày 30/6/2025</t>
  </si>
  <si>
    <t>Cải tạo, nâng cấp đường tỉnh 154 đoạn Tả Thàng - Ngã ba Cốc Ly (Km90+000 - Km95+500, tương ứng Km88+000 - Km93+500 ĐT.154 cũ)</t>
  </si>
  <si>
    <t>2505/QĐ-UBND ngày 30/6/2025</t>
  </si>
  <si>
    <t>Đường kết nối từ nút giao IC18 đến cụm công nghiệp Thống Nhất 1, thành phố Lào Cai</t>
  </si>
  <si>
    <t>Xã Gia Phú Lào Cai</t>
  </si>
  <si>
    <t>1955/QĐ-UBND ngày 19/6/2025</t>
  </si>
  <si>
    <t>Cải tạo nâng cấp đường tỉnh 157 đoạn từ nút giao đường Làng My - Đồng Ân đến giao QL.4E (Km39+100 - Km43+000)</t>
  </si>
  <si>
    <t xml:space="preserve"> 2504/QĐ-UBND ngày 30/6/2025</t>
  </si>
  <si>
    <t>Phường Âu Lâu, tỉnh Lào Cai</t>
  </si>
  <si>
    <t>887/QĐ-UBND ngày 09/6/2022; 1041/QĐ-UBND ngày 04/6/2024; 1342/QĐ-UBND ngày 03/10/2025</t>
  </si>
  <si>
    <t>Chỉnh trang hạ tầng kỹ thuật khu công nghiệp phía Nam, tỉnh Yên Bái</t>
  </si>
  <si>
    <t>Phường Văn Phú, tỉnh Lào Cai</t>
  </si>
  <si>
    <t>1382/QĐ-UBND ngày 09/10/2025</t>
  </si>
  <si>
    <t>Xây dựng hệ thống xử lý nước thải tập trung khu công nghiệp Âu Lâu, tỉnh Yên Bái</t>
  </si>
  <si>
    <t>563/QĐ-UBND ngày 21/7/2025</t>
  </si>
  <si>
    <t>Xây dựng hệ thống xử lý nước thải tập trung khu công nghiệp Minh Quân, tỉnh Yên Bái</t>
  </si>
  <si>
    <t>556/QĐ-UBND ngày 21/7/2025</t>
  </si>
  <si>
    <t>Các tuyến đường liên thôn xã Gia Phú, huyện Bảo Thắng với quốc lộ 4E và đường Trần Hưng Đạo, TP Lào Cai</t>
  </si>
  <si>
    <t>Xã Gia Phú</t>
  </si>
  <si>
    <t>2217/QĐ-UBND ngày 27/06/2025</t>
  </si>
  <si>
    <t>Hệ thống điện chiếu sáng công cộng trên tuyến QL70 đoạn qua trung tâm xã Bản Phiệt, huyện Bảo Thắng</t>
  </si>
  <si>
    <t>1846/QĐ-UBND ngày 12/06/2025</t>
  </si>
  <si>
    <t>Đường từ Quốc lộ 70 đi tỉnh lộ 157 và đường từ Tỉnh lộ 157 thị trấn Phong Hải đi xã Thái Niên, huyện Bảo Thắng</t>
  </si>
  <si>
    <t xml:space="preserve">Xã Phong Hải; xã Bảo Thắng </t>
  </si>
  <si>
    <t>3692/QĐ-UBND ngày  31/10/2019; 1957/QĐ-UBND ngày 09/8/2023</t>
  </si>
  <si>
    <t>Đường BQ7 nối từ QL70 xã Bản Phiệt, huyện Bảo Thắng đi thôn Na Lốc, xã Bản Lầu, huyện Mường Khương</t>
  </si>
  <si>
    <t>3243/QĐ-UBND ngày  12/10/2018; 4585/QĐ-UBND ngày  29/12/2021</t>
  </si>
  <si>
    <t>Đường liên xã từ Xả Hồ, xã Phong Niên đi Km11 Quốc lộ 4E, xã Xuân Quang, huyện Bảo Thắng</t>
  </si>
  <si>
    <t>2942/QĐ-UBND ngày  17/08/2021</t>
  </si>
  <si>
    <t>Đường liên xã từ Sơn Hà đi đền Cô Ba xã Phú Nhuận, huyện Bảo Thắng</t>
  </si>
  <si>
    <t>1823/QĐ-UBND ngày  31/5/2021; 1067/QĐ-UBND ngày 09/4/2025</t>
  </si>
  <si>
    <t>Nâng cấp đường liên xã từ An Thành - Khe Tắm, xã Phố Lu đi xã Trì Quang, huyện Bảo Thắng</t>
  </si>
  <si>
    <t>Xã Bảo Thắng; Xã Xuân Quang</t>
  </si>
  <si>
    <t>3673/QĐ-UBND ngày  31/10/2019; 1031/QĐ-UBND ngày  06/4/2025</t>
  </si>
  <si>
    <t>Cầu tràn Nhuần 2,3, Tân Hồ đi Nhuần 1,4,5,6 xã Phú Nhuận huyện Bảo Thắng</t>
  </si>
  <si>
    <t>1252/QĐ-UBND ngày  08/05/2019</t>
  </si>
  <si>
    <t>Nâng cấp đường từ Bản 3 Nhai Thổ - Bản 1 Nhai Tẻn xã Kim Sơn, huyện Bảo Yên nối với xã Trì Quang, huyện Bảo Thắng</t>
  </si>
  <si>
    <t>3050/QĐ-UBND ngày24/8/2021; 3625/QĐ-UBND ngày 11/10/2021</t>
  </si>
  <si>
    <t>Nâng cấp đường Bản 6, xã Long Khánh, huyện Bảo Yên</t>
  </si>
  <si>
    <t>Xã Phúc Khánh</t>
  </si>
  <si>
    <t>2881/QĐ-UBND ngày16/9/2019; 3207/QĐ-UBND ngày 21/12/2022; 2300/QĐ-UBND ngày 10/9/2024</t>
  </si>
  <si>
    <t>Sắp xếp dân cư tập trung Na Nung xã Lương Sơn</t>
  </si>
  <si>
    <t>Xã Phố Ràng</t>
  </si>
  <si>
    <t>2028/QĐ-UBND ngày 30/6/2020</t>
  </si>
  <si>
    <t>Sửa chữa kè cống sạt lở suối bản Hón đoạn từ ruộng nhà ông Tỉnh đến ruộng nhà ông Tò xã Nghĩa Đô</t>
  </si>
  <si>
    <t>2203/QĐ-UBND ngày 27/9/2019</t>
  </si>
  <si>
    <t>SC, nâng cấp các hạng mục CT do thiên tai gây ra Thủy lợi Bản Nậm Đâu xã TT, Bản Nà Phát xã LP, Bản Bùn 2-Bùn 4 xã BH + CNSH bản 1B xã ĐQ, bản Phạ và Bản Dằm 1+2 xã TD, huyện Bảo Yên</t>
  </si>
  <si>
    <t>Các xã</t>
  </si>
  <si>
    <t>816/QĐ-UBND ngày 07/5/2019</t>
  </si>
  <si>
    <t>Cầu tràn Bản Vuộc 1 (Ô Chúng), cầu tràn Bản Vuộc 2 (Ô Thủy), cầu tràn Thôn Pịt (Ô Nam), cầu tràn Thôn Sài 1 (Ô Sản), xã Lương Sơn; Cầu tràn Bản 1AB (Khe Cút), cầu tràn Bản 1AB (Cốc Lay), xã Kim Sơn</t>
  </si>
  <si>
    <t>2919/QĐ-UBND ngày 20/9/2019</t>
  </si>
  <si>
    <t>Cầu tràn thôn 2 Bảo Ân xã Kim Sơn; Cầu bản 6 Vài Siêu xã Thượng Hà; Cầu tràn bản Bùn 3; Cầu tràn bản Lúc xã Bảo Hà, huyện Bảo Yên</t>
  </si>
  <si>
    <t>3410/QĐ-UBND ngày 21/9/2021;2216/QĐ-UBND ngày 27/6/2025</t>
  </si>
  <si>
    <t>Nâng cấp tuyến đường liên xã từ xã Xuân Thượng kết nối với đường Tỉnh lộ 160 đi xã Việt Tiến, huyện Bảo Yên</t>
  </si>
  <si>
    <t>1727/QĐ-UBND ngày 25/5/2021</t>
  </si>
  <si>
    <t>Nâng cấp, mở mới tuyến đường liên xã từ bản Khoai 3 xã Bảo Hà đi bản 6AB xã Kim Sơn, huyện Bảo Yên</t>
  </si>
  <si>
    <t>1848/QĐ-UBND ngày 01/6/2021</t>
  </si>
  <si>
    <t>Đường Bản Nậm Cằm xã Nghĩa Đô đi Bản Nậm Đâu xã Tân Tiến, huyện Bảo Yên</t>
  </si>
  <si>
    <t>1849/QĐ-UBND ngày 01/6/2021</t>
  </si>
  <si>
    <t>Đường kết nối xã Nghĩa Đô, huyện Bảo Yên, tỉnh Lào Cai đi huyện Quang Bình, tỉnh Hà Giang</t>
  </si>
  <si>
    <t>3083/QĐ-UBND ngày 25/8/2021</t>
  </si>
  <si>
    <t>Nâng cấp, cải tạo tuyến đường tỉnh lộ 160 đoạn từ cầu Hạnh Phúc (thị trấn Phố Ràng) đi UBND xã Xuân Thượng, huyện Bảo Yên</t>
  </si>
  <si>
    <t>2212/QĐ-UBND ngày 29/6/2021; 3131/QĐ-UBND ngày 18/12/2023</t>
  </si>
  <si>
    <t>Sửa chữa cầu treo Thác Xa và XD cầu tràn liên hợp bản Thác Xa xã Tân Tiến</t>
  </si>
  <si>
    <t>529/QĐ-UBND ngày 08/3/2022</t>
  </si>
  <si>
    <t>Giải phóng mặt bằng đồn công an xã Bảo Hà</t>
  </si>
  <si>
    <t>778/QĐ-UBND ngày 23/3/2016</t>
  </si>
  <si>
    <t xml:space="preserve">Khu tái định cư Cảng hàng không Lào Cai </t>
  </si>
  <si>
    <t>261/QĐ-UBND ngày 1/12/2023; 3212/QĐ-UBND ngày 05/12/2023; 1144/QĐ-UBND ngày 13/5/2024; 1029/QĐ-UBND ngày 06/4/2025</t>
  </si>
  <si>
    <t>Nâng cấp, chỉnh trang các tuyến đường Nội thị, thị trấn Phố Ràng huyện Bảo Yên</t>
  </si>
  <si>
    <t>771/QĐ-UBND ngày 29/3/2022</t>
  </si>
  <si>
    <t>Đường Tân Dương - Thượng Hà xã Tân Dương</t>
  </si>
  <si>
    <t>Xã Xuân Hòa - Thượng Hà</t>
  </si>
  <si>
    <t>2472/QĐ-UBND ngày 24/10/2022</t>
  </si>
  <si>
    <t>Dự án thành phần 1 (Giải phóng mặt bằng và tái định cư)-Giai đoạn 1 thuộc dự án Đầu tư xây dựng Cảng hàng không Sa Pa, tỉnh Lào Cai theo phương thức Đối tác công tư (PPP)</t>
  </si>
  <si>
    <t>4486/QĐ-UBND ngày 23/12/2021: 4588/QĐ-UBND ngày 11/11/2022; 1330/QĐ-UBND ngày 01/7/2024; 1740/QĐ-UBND ngày 07/8/2024; 575/QĐ-UBND ngày 28/02/2025</t>
  </si>
  <si>
    <t>Tuyến đường liên xã Bản Mí 2 xã Xuân Hòa - Bản Lò Vôi xã Vĩnh Yên huyện Bảo Yên</t>
  </si>
  <si>
    <t>1329/QĐ-UBND ngày 27/4/2023</t>
  </si>
  <si>
    <t>Xây dựng cơ sở hạ tầng phục vụ di rời dân cư khẩn cấp khỏi khu vực có nguy cơ cao, xảy ra sạt lở đất, lũ ống, lũ quét tại khu vực Bản Qua xã Xuân Hòa</t>
  </si>
  <si>
    <t>69/QĐ-UBND ngày 14/8/2023</t>
  </si>
  <si>
    <t>Kè suối bảo vệ trụ sở UBND xã Điện Quan và lan can bảo vệ trường học xã Điện Quan</t>
  </si>
  <si>
    <t>2950/QĐ-UBND ngày 28/6/2017</t>
  </si>
  <si>
    <t>Kè suối bảo vệ khu dân cư trung tâm xã Bảo Hà</t>
  </si>
  <si>
    <t>Xã Bảo hà</t>
  </si>
  <si>
    <t>5378/QĐ-UBND ngày 01/12/2017</t>
  </si>
  <si>
    <t>Nâng cấp tuyến đường kết nối Quốc lộ 70 với Quốc lộ 279 huyện Bảo Yên</t>
  </si>
  <si>
    <t>937/QĐ-UBND ngày 21/4/2023</t>
  </si>
  <si>
    <t>Cải tạo tỉnh lộ 153 qua xã Nghĩa Đô đến QL 279</t>
  </si>
  <si>
    <t>Xã nghĩa Đô</t>
  </si>
  <si>
    <t>765/QĐ-UBND ngày 21/3/2025</t>
  </si>
  <si>
    <t>Công trình Cầu vào thôn Sín Chải xã Ngũ Chỉ Sơn</t>
  </si>
  <si>
    <t>73/QĐ-UBND ngày 24/2/2021</t>
  </si>
  <si>
    <t>Cải tạo nâng cấp tuyến đường Má Tra - Suối Hồ, phường Hàm Rồng, thị xã Sa Pa</t>
  </si>
  <si>
    <t xml:space="preserve"> 2390/QĐ-UBND ngày  03/10/2023</t>
  </si>
  <si>
    <t>Chợ du lịch xã Tả Van, Lao Chải, Hầu Thào, huyện Sa Pa</t>
  </si>
  <si>
    <t xml:space="preserve"> 3693/QĐ-UBND ngày  31/10/2019;
 3693/QĐ-UBND ngày  14/09/2020;
 3208/QĐ-UBND ngày  03/12/2024</t>
  </si>
  <si>
    <t>Cầu tràn liên hợp Lủ Khấu - Kim Ngan xã Bản Khoang</t>
  </si>
  <si>
    <t xml:space="preserve"> 3686/QĐ-UBND ngày  31/10/2019;
 2827/QĐ-UBND ngày  18/11/2022;
 1973/QĐ-UBND ngày  02/08/2024;
 1551/QĐ-UBND ngày  16/05/2025</t>
  </si>
  <si>
    <t>Đường Nậm Nhìu xã Nậm Sài đi Sín Chải A xã Thanh Phú</t>
  </si>
  <si>
    <t xml:space="preserve"> 3690/QĐ-UBND ngày  31/10/2019;
 2159/QĐ-UBND ngày  09/7/2020;
 743/QĐ-UBND ngày  07/4/2022;
 3039/QĐ-UBND ngày  20/11/2023;
 854/QĐ-UBND ngày  28/03/2025</t>
  </si>
  <si>
    <t>Đường thôn Gia Khấu, xã Ngũ Chỉ Sơn, thị xã Sa Pa kết nối đường đi xã Phìn Ngan, huyện Bát Xát</t>
  </si>
  <si>
    <t xml:space="preserve"> 1480/QĐ-UBND ngày  07/05/2021;
 1655/QĐ-UBND ngày  28/07/2022;
 1975/QĐ-UBND ngày  02/08/2024;
 1626/QĐ-UBND ngày  22/05/2025</t>
  </si>
  <si>
    <t>Nâng cấp, mở rộng đường vào trung tâm xã Mường Hoa, thị xã Sa Pa</t>
  </si>
  <si>
    <t xml:space="preserve"> 1482/QĐ-UBND ngày  07/05/2021;
 1974/QĐ-UBND ngày  02/08/2024;
 1552/QĐ-UBND ngày  16/05/2025</t>
  </si>
  <si>
    <t>Nâng cấp đường Sả Xéng, xã Tả Phìn đi Móng Sến, xã Trung Chải thị xã Sa Pa</t>
  </si>
  <si>
    <t>Xã Tả Phìn</t>
  </si>
  <si>
    <t xml:space="preserve"> 1860/QĐ-UBND ngày  02/6/2021;
 3251/QĐ-UBND ngày  23/12/2022</t>
  </si>
  <si>
    <t>Sửa chữa, mở rộng mặt đường và làm mới hệ thống thoát nước tuyến đường ĐH92, thị xã Sa Pa</t>
  </si>
  <si>
    <t>Phường Sa Pa, xã Tả Van</t>
  </si>
  <si>
    <t xml:space="preserve"> 3449/QĐ-UBND ngày  24/09/2021;
 1004/QĐ-UBND ngày  04/04/2025</t>
  </si>
  <si>
    <t>Nâng cấp, cải tạo tuyến đường từ Ô Quý Hồ đi khu du lịch Cát Cát (TL152 kéo dài), thị xã Sa Pa</t>
  </si>
  <si>
    <t xml:space="preserve"> 2630/QĐ-UBND ngày  23/07/2021;
 1177/QĐ-UBND ngày  21/05/2024;
 3389/QĐ-UBND ngày  17/12/2024</t>
  </si>
  <si>
    <t>Hệ thống đường nội bộ, hạ tầng kỹ thuật khu trung tâm hành chính mới thị xã Sa Pa</t>
  </si>
  <si>
    <t>2129/QĐ-UBND ngày 21/08/2024;
614/QĐ-UBND ngày 05/03/2025</t>
  </si>
  <si>
    <t>Đền bù, GPMB dự án khu trung tâm hành chính mới (gđ 1)</t>
  </si>
  <si>
    <t>350/QĐ-UBND ngày 31/10/2018</t>
  </si>
  <si>
    <t>Khắc phục bão lũ đường Sán Chá - Thèn Ván; đường Nà Mỏ - Lao Chải xã Lùng Cải, huyện Bắc Hà</t>
  </si>
  <si>
    <t>Xã Tả Củ Tỷ</t>
  </si>
  <si>
    <t>255/QĐ-UBND ngày 19/6/2025</t>
  </si>
  <si>
    <t>Cầu bản thôn Dì Thàng – Ly Chư Phìn, xã Na Hối</t>
  </si>
  <si>
    <t>292/QĐ-UBND ngày 30/6/25</t>
  </si>
  <si>
    <t>Cầu bản thôn Na Áng A, xã Na Hối</t>
  </si>
  <si>
    <t>289/QĐ-UBND ngày 27/6/2025</t>
  </si>
  <si>
    <t xml:space="preserve">Chợ trung tâm xã Lùng Phình, huyện Bắc Hà (giai đoạn 1) </t>
  </si>
  <si>
    <t>Xã Lùng Phình</t>
  </si>
  <si>
    <t>2399/QĐ-UBND ngày 25/8/2014</t>
  </si>
  <si>
    <t>San tạo mặt bằng chợ, trường học, đường giao thông Trung tâm cụm xã Bản Liền, huyện Bắc Hà</t>
  </si>
  <si>
    <t>579/QĐ-UBND ngày 16/3/10</t>
  </si>
  <si>
    <t>Cầu Na Hô xã Tà Chải; Cầu Nậm Kha 1, Cầu Nậm Nhù xã Nậm Lúc, huyện Bắc Hà</t>
  </si>
  <si>
    <t>Liên xã xã Bắc Hà + Cốc Lầu</t>
  </si>
  <si>
    <t>1879/QĐ-UBND ngày 03/6/2021</t>
  </si>
  <si>
    <t>Đường liên xã Bảo Nhai - xã Cốc Ly, huyện Bắc Hà</t>
  </si>
  <si>
    <t>3467/QĐ-UBND ngày 31/10/2018</t>
  </si>
  <si>
    <t>Đường liên xã từ thôn Nậm Đét, xã Nậm Đét đến thôn Cốc Đầm, xã Nậm Lúc</t>
  </si>
  <si>
    <t xml:space="preserve"> 1069;/QĐ-UBND ngày  9/4/2025</t>
  </si>
  <si>
    <t>Cải tạo, nâng cấp đường vào khu vực trung tâm xã Thải Giàng Phố</t>
  </si>
  <si>
    <t>2914/QĐ-UBND ngày  17/11/2023</t>
  </si>
  <si>
    <t>Cầu Nậm Kỷ nối thôn Sả Mào Phố - thôn Nậm Sỏm, xã Tả Củ Tỷ, huyện Bắc Hà</t>
  </si>
  <si>
    <t>2022-2026</t>
  </si>
  <si>
    <t>1092/QĐ-UBND ngày 10/4/2025</t>
  </si>
  <si>
    <t>Đường liên xã từ thôn Nậm Đét, xã Nậm Đét đến thôn Cốc Đầm, xã Nậm Lúc, huyện Bắc Hà, tỉnh Lào Cai (Km0+00-Km2+600)</t>
  </si>
  <si>
    <t xml:space="preserve"> 1030/QĐ-UBND ngày 06/04/2025  </t>
  </si>
  <si>
    <t>Đường vành đai 2 (Đoạn ĐT 153 đi UBND xã Na Hối - Na Kim Tà Chải)</t>
  </si>
  <si>
    <t>2019-2026</t>
  </si>
  <si>
    <t>2266/QĐ-UBND ngày 06/9/2024</t>
  </si>
  <si>
    <t>Đường từ Km28+650 ĐT 156B đi các thôn Kim Tiến, làng Pẳn, Tả Trang xã Quang Kim huyện Bát Xát</t>
  </si>
  <si>
    <t>2020-2025</t>
  </si>
  <si>
    <t>3605/QĐ-UBND ngày 31/10/2019</t>
  </si>
  <si>
    <t>Xây dựng mới bãi đỗ xe tại trung tâm xã Y Tý huyện Bát Xát</t>
  </si>
  <si>
    <t xml:space="preserve"> 1374/QĐ-UBND ngày  28/4/2021; 990/QĐ-UBND ngày  06/5/2024.</t>
  </si>
  <si>
    <t>Đường Quang Kim - Phìn Ngan (đoạn Km4 đi trung tâm xã Phìn Ngan mới), huyện Bát Xát</t>
  </si>
  <si>
    <t>2907/QĐ-UBND ngày 13/8/202</t>
  </si>
  <si>
    <t>Đường Mường Hum - Nậm Pung huyện Bát Xát</t>
  </si>
  <si>
    <t>Xã Mường Hum</t>
  </si>
  <si>
    <t>438/QĐ-UBND ngày 08/02/2021</t>
  </si>
  <si>
    <t>Đường Mường Hum - Dền Thàng-Dền Sáng huyện Bát Xát</t>
  </si>
  <si>
    <t xml:space="preserve"> Xã Dền Sáng</t>
  </si>
  <si>
    <t>437/QĐ-UBND ngày 08/02/2021</t>
  </si>
  <si>
    <t>Cải tạo, nâng cấp tuyến ĐT 156B đoạn từ km28+400 đến km30+100 (Đoạn từ ngã 3 xã Quang Kim đến cổng chào thị trấn Bát Xát)</t>
  </si>
  <si>
    <t>658/QĐ-UBND ngày 28/3/2023</t>
  </si>
  <si>
    <t>Cải tạo, nâng cấp tuyến ĐT 158 đoạn Km40+500 đến Km41+500 (Trung tâm xã Y Tý- Ngã 3 Phìn Hồ)</t>
  </si>
  <si>
    <t>2925/QĐ-UBND ngày 25/11/2022</t>
  </si>
  <si>
    <t>San tạo mặt bằng + Sắp xếp dân cư thôn Phố Thầu - Phố Cũ xã Si Ma Cai, huyện Si Ma Cai, tỉnh Lào Cai</t>
  </si>
  <si>
    <t xml:space="preserve"> 323/QĐ-UBND, 02/12/2022</t>
  </si>
  <si>
    <t>San tạo mặt bằng + Xây dựng hạ tầng kỹ thuật, sắp xếp dân cư khu trung tâm huyện (16ha) huyện Si Ma Cai</t>
  </si>
  <si>
    <t xml:space="preserve"> 281/QĐ-UBND, 17/11/2021</t>
  </si>
  <si>
    <t>Di dân khẩn cấp thôn Suối Lóp, thôn Kang Kỷ, xã Suối Giàng, huyện Văn Chấn</t>
  </si>
  <si>
    <t>674/QĐ-UBND ngày 01/4/2025</t>
  </si>
  <si>
    <t>Di dân khẩn cấp thôn Nà Nọi, xã Sùng Đô, huyện Văn Chấn</t>
  </si>
  <si>
    <t>676/QĐ-UBND ngày 01/4/2025</t>
  </si>
  <si>
    <t>Đường thôn Làng Cò, xã Nậm Mười</t>
  </si>
  <si>
    <t>1587/QĐ-UBND ngày 05/6/2025</t>
  </si>
  <si>
    <t>Di dân khẩn cấp bản Háng Bla A, xã Khao Mang</t>
  </si>
  <si>
    <t xml:space="preserve">478/QĐ-UBND ngày 13/3/2025 </t>
  </si>
  <si>
    <t>Đường từ Quốc lộ 32 đi Trạm Y tế xã Nghĩa Lộ</t>
  </si>
  <si>
    <t>Phường Trung Tâm, tỉnh Lào Cai</t>
  </si>
  <si>
    <t>344/QĐ-UBND ngày 09/3/2025; 1169/QĐ-UBND ngày 16/6/2025</t>
  </si>
  <si>
    <t>Đường từ Quốc Lộ 32 đi UBND xã Thanh Lương (giáp trường TH&amp;THCS Thanh Lương, xã Thanh Lương, thị xã Nghĩa Lộ)</t>
  </si>
  <si>
    <t>730/QĐ-UBND ngày 24/5/2025</t>
  </si>
  <si>
    <t>Xã Hạnh Phúc - xã Trạm Tấu</t>
  </si>
  <si>
    <t>Nâng cấp mở rộng đường từ Quốc lộ 32 đến Ao Luông, xã Sơn A</t>
  </si>
  <si>
    <t>396/QĐ-UBND ngày 14/3/2025</t>
  </si>
  <si>
    <t>Chỉnh trang đô thị Khu dân cư số 2 (khu vực khách sạn Mường Lò), phường Tân An, thị xã Nghĩa Lộ</t>
  </si>
  <si>
    <t>Phường Nghĩa Lộ, tỉnh Lào Cai</t>
  </si>
  <si>
    <t>1031/QĐ-UBND ngày 16/5/2025</t>
  </si>
  <si>
    <t>Khắc phục khẩn cấp đường Thanh Niên và các tuyến nhánh</t>
  </si>
  <si>
    <t>Phường Yên Bái, tỉnh Lào Cai</t>
  </si>
  <si>
    <t>560/QĐ-UBND ngày 21/3/2025</t>
  </si>
  <si>
    <t>Xây dựng mô hình phát triển chuỗi sản phẩm OCOP miến xanh gắn với mục tiêu phát triển cộng đồng trong quản lý và bảo tồn đa dạng sinh học tại xã Quy Mông, huyện Trấn Yên, tỉnh Yên Bái</t>
  </si>
  <si>
    <t>5406/QĐ-UBND ngày 16/12/2024</t>
  </si>
  <si>
    <t>Khắc phục khẩn cấp đường Quy Mông - Kiên Thành, huyện Trấn Yên, tỉnh Yên Bái</t>
  </si>
  <si>
    <t>477/QĐ-UBND
ngày 13/3/2025</t>
  </si>
  <si>
    <t>Khắc phục khẩn cấp các công trình thủy lợi trên địa bàn huyện Trấn Yên</t>
  </si>
  <si>
    <t>924/QĐ-UBND ngày 29/4/2025</t>
  </si>
  <si>
    <t>Di dân khẩn cấp xã Phong Dụ Thượng, huyện Văn Yên</t>
  </si>
  <si>
    <t xml:space="preserve"> 1062/QĐ-UBND
ngày 23/5/2025</t>
  </si>
  <si>
    <t>Di dân khẩn cấp xã Châu Quế Hạ, huyện Văn Yên</t>
  </si>
  <si>
    <t xml:space="preserve"> 1061/QĐ-UBND
ngày 23/5/2025</t>
  </si>
  <si>
    <t xml:space="preserve"> 20/NQ-HĐND ngày 04/7/2020</t>
  </si>
  <si>
    <t>Xây dựng chợ trung tâm huyện đạt chuẩn hạng II, huyện Trấn Yên, tỉnh Yên Bái</t>
  </si>
  <si>
    <t xml:space="preserve">Xã Trấn Yên </t>
  </si>
  <si>
    <t>2440/QĐ-UBND ngày 29/11/2024</t>
  </si>
  <si>
    <t>Dự án đầu tư xây dựng công trình xử lý nước sinh hoạt thị trấn Cổ Phúc, huyện Trấn Yên, tỉnh Yên Bái</t>
  </si>
  <si>
    <t>5134/QĐ-UBND ngày 11/12/2023</t>
  </si>
  <si>
    <t>Cải tạo, sửa chữa đường nối từ đường Yên Bái - Văn Tiến, xã Văn Phú với đường Thanh Hùng, xã Tân Thịnh thành phố Yên Bái</t>
  </si>
  <si>
    <t>2521/QĐ-UBND ngày 17/6/2024</t>
  </si>
  <si>
    <t>Đường từ trung tâm xã đi thôn Bản Cọ, xã Hồng Ca, huyện Trấn Yên, tỉnh Yên Bái</t>
  </si>
  <si>
    <t xml:space="preserve">Xã Hưng Khánh </t>
  </si>
  <si>
    <t>484/QĐ-UBND ngày 28/02/2025</t>
  </si>
  <si>
    <t>Công trình thoát nước thôn Bản Khun, xã Hồng Ca, huyện Trấn Yên, tỉnh Yên Bái</t>
  </si>
  <si>
    <t>507/QĐ-UBND ngày 28/02/2025</t>
  </si>
  <si>
    <t>Công trình thoát nước thôn Khe Tiến, xã Hồng Ca, huyện Trấn Yên, tỉnh Yên Bái</t>
  </si>
  <si>
    <t>508/QĐ-UBND ngày 28/02/2025</t>
  </si>
  <si>
    <t>Đường trung tâm xã Vân Hội (Thôn 8 Minh Phú), huyện Trấn Yên, tỉnh Yên Bái</t>
  </si>
  <si>
    <t>512/QĐ-UBND ngày 28/02/2025</t>
  </si>
  <si>
    <t>Nâng cấp, sửa chữa đường từ trung tâm xã đi thôn 7A, 7B xã Việt Cường (Đoạn 2), huyện Trấn Yên, tỉnh Yên Bái</t>
  </si>
  <si>
    <t>513/QĐ-UBND ngày 28/02/2025</t>
  </si>
  <si>
    <t>Cải tạo, nâng cấp đường TL 166-Minh An (Đoạn 3) xã Y Can, huyện Trấn Yên, tỉnh Yên Bái</t>
  </si>
  <si>
    <t>515/QĐ-UBND ngày 28/02/2025</t>
  </si>
  <si>
    <t>Mở rộng cụm công nghiệp Âu Lâu, thành phố Yên Bái</t>
  </si>
  <si>
    <t>3820/QĐ-UBND ngày 31/10/2019</t>
  </si>
  <si>
    <t>509/QĐ-UBND ngày 07/4/2023; 2198/QĐ-UBND ngày 24/11/2023; 718/QĐ-UBND ngày 06/4/2025</t>
  </si>
  <si>
    <t>Đường đến trung tâm xã Cường Thịnh, huyện Trấn Yên, tỉnh Yên Bái</t>
  </si>
  <si>
    <t>750/QĐ-UBND ngày 12/3/2025</t>
  </si>
  <si>
    <t>Đường Cổ Phúc - Hòa Cuông, huyện Trấn Yên, tỉnh Yên Bái</t>
  </si>
  <si>
    <t>751/QĐ-UBND ngày 12/3/2025</t>
  </si>
  <si>
    <t>Đường thôn Đồng Cát xã Kiên Thành, huyện Trấn Yên, tỉnh Yên Bái</t>
  </si>
  <si>
    <t>752/QĐ-UBND ngày 12/3/2025</t>
  </si>
  <si>
    <t>Hạ tầng kỹ thuật cụm công nghiệp Yên Hợp, huyện Văn Yên, tỉnh Yên Bái (giai đoạn I)</t>
  </si>
  <si>
    <t>1160/QĐ-UBND ngày
03/6/2025</t>
  </si>
  <si>
    <t>Quy hoạch chi tiết xây dựng Cụm công nghiệp Yên Hợp, huyện Văn Yên</t>
  </si>
  <si>
    <t>Xã Xuân Ái, tỉnh Lào Cai</t>
  </si>
  <si>
    <t>5281/UBND-XD ngày 21/11/2024</t>
  </si>
  <si>
    <t>Chỉnh trang khu dân cư nông thôn (khu 3, địa điểm thôn Thắng Lợi, xã Y Can) huyện Trấn Yên, tỉnh Yên Bái</t>
  </si>
  <si>
    <t>Xã Quy Mông, tỉnh Lào Cai</t>
  </si>
  <si>
    <t>889/QĐ-UBND ngày 03/4/2024</t>
  </si>
  <si>
    <t>Chỉnh trang khu dân cư nông thôn thôn Thắng Lợi, xã Y Can (Giai đoạn 2), huyện Trấn Yên, tỉnh Yên Bái</t>
  </si>
  <si>
    <t>3612/QĐ-UBND ngày 29/10/2024</t>
  </si>
  <si>
    <t>Dự án xây dựng khu dân cư nông thôn thôn 4 xã Đào Thịnh</t>
  </si>
  <si>
    <t>Xã Trấn Yên tỉnh Lào Cai</t>
  </si>
  <si>
    <t>3053/QĐ-UBND ngày 28/10/2024</t>
  </si>
  <si>
    <t>Chỉnh trang đô thị khu vực tổ dân phố số 5, phường Yên Ninh, thành phố Yên Bái</t>
  </si>
  <si>
    <t xml:space="preserve"> 3739/QĐ-UBND ngày 11/12/2021</t>
  </si>
  <si>
    <t xml:space="preserve">Chỉnh trang đô thị khu vực tổ dân phố số 4 và tổ dân phố số 5, phường Yên Ninh, thành phố Yên Bái </t>
  </si>
  <si>
    <t xml:space="preserve"> 3740/QĐ-UBND ngày 29/11/2021</t>
  </si>
  <si>
    <t>Chỉnh trang khu dân cư nông thôn (quỹ đất dân cư hai bên đường thôn Hai Luồng), xã Âu Lâu, thành phố Yên Bái</t>
  </si>
  <si>
    <t xml:space="preserve"> 369/QĐ-UBND ngày 22/02/2022</t>
  </si>
  <si>
    <t>Quỹ đất dân cư khu vực tổ 12, phường Yên Ninh, thành phố Yên Bái</t>
  </si>
  <si>
    <t>Số 2804/QĐ-UBND ngày 09/7/2025</t>
  </si>
  <si>
    <t>Chỉnh trang đô thị khu vực tổ dân phố Nam Thọ, phường Nam Cường, thành phố Yên Bái</t>
  </si>
  <si>
    <t>Phường Nam Cường, tỉnh Lào Cai</t>
  </si>
  <si>
    <t xml:space="preserve"> 3211/QĐ-UBND ngày 31/7/2024</t>
  </si>
  <si>
    <t>Chỉnh trang đô thị thị trấn Cổ Phúc Khu B: Địa điểm tổ dân phố só 1 thị trấn Cổ Phúc, huyện Trấn Yên, tỉnh Yên Bái</t>
  </si>
  <si>
    <t>747/QĐ-UBND ngày 12/3/2025</t>
  </si>
  <si>
    <t>Xây dựng khu đô thị mới tổ dân phố số 10, thị trấn Mậu A, huyện Văn Yên, tỉnh Yên Bái</t>
  </si>
  <si>
    <t>Xã Mậu A, tỉnh Lào Cai</t>
  </si>
  <si>
    <t>1374/QĐ-UBND ngày 6/6/2023</t>
  </si>
  <si>
    <t>Hạ tầng tổ chức các sự kiện văn hóa dân tộc gắn với di tích Đền Ken, xã Chiềng Ken, huyện Văn Bàn</t>
  </si>
  <si>
    <t>3601/QĐ-UBND ngày  31/12/2024</t>
  </si>
  <si>
    <t>Nghĩa trang liệt sỹ huyện Văn Bàn</t>
  </si>
  <si>
    <t>2906/QĐ-UBND ngày  12/11/2024</t>
  </si>
  <si>
    <t>Nâng cấp đường thị trấn Khánh Yên đi các xã Khánh Yên Thượng, Khánh Yên Trung, Khánh Yên Hạ, Liêm Phú, huyện Văn Bàn</t>
  </si>
  <si>
    <t>Xã Văn Bàn; xã Khánh Yên</t>
  </si>
  <si>
    <t>1008/QĐ-UBND ngày  04/4/2025</t>
  </si>
  <si>
    <t>Đường kết nối tỉnh lộ 151 (Võ Lao, Văn Bàn) với đường Cao tốc Nội Bài - Lào Cai (tại xã Cam Cọn, huyện Bảo Yên)</t>
  </si>
  <si>
    <t>Xã Võ Lao, xã Bảo Hà</t>
  </si>
  <si>
    <t>1356/QĐ-UBND ngày 28/4/2025</t>
  </si>
  <si>
    <t>Ban QLDA ĐTXD khu vực Mường Khương</t>
  </si>
  <si>
    <t>Điều chỉnh quy hoạch trung tâm huyện Mường Khương</t>
  </si>
  <si>
    <t>21/NQ-HĐND ngày 8/1/2020</t>
  </si>
  <si>
    <t>Điều chỉnh quy hoạch trung tâm xã Bản Lầu</t>
  </si>
  <si>
    <t>387/QĐ-UBND ngày 30/9/2019</t>
  </si>
  <si>
    <t>Nâng cấp tuyến đường trung tâm xã Nấm Lư,  huyện Mường Khương</t>
  </si>
  <si>
    <t>3017/QĐ-UBND ngày  23/8/2021; 3202/QĐ-UBND ngày 19/12/2023</t>
  </si>
  <si>
    <t>Xây dựng tuyến đường DT 154 - Ma Cái Thàng xã LPT</t>
  </si>
  <si>
    <t>4793/QĐ-UBND ngày 30/10/2017</t>
  </si>
  <si>
    <t>Nâng cấp đường từ Làng thanh niên lập nghiệp đi thôn Cốc Phương, xã Bản Lầu nối vào đường Nậm Chảy - Bản Lầu, huyện Mường Khương</t>
  </si>
  <si>
    <t>4003/QĐ-UBND ngày 17/11/2020</t>
  </si>
  <si>
    <t>Nâng cấp tuyến đường trung tâm xã Lùng Khấu Nhin và xã Cao Sơn, huyện Mường Khương</t>
  </si>
  <si>
    <t>859/QĐ-UBND ngày 17/4/2023</t>
  </si>
  <si>
    <t>Nâng cấp tuyến đường từ thôn Sín Chải A đi thôn Mường Lum, xã La Pan Tẩn, huyện Mường Khương</t>
  </si>
  <si>
    <t>1895/QĐ-UBND ngày 04/6/2021</t>
  </si>
  <si>
    <t>Nâng cấp tuyến đường từ QL4D đi xã Cao Sơn, huyện Mường Khương</t>
  </si>
  <si>
    <t>4004/QĐ-UBND ngày 17/11/2020</t>
  </si>
  <si>
    <t>Nâng cấp tuyến đường Hoàng Liên Sơn II từ Lùng Vai - Cao Sơn huyện Mường Khương (đoạn nối tiếp)</t>
  </si>
  <si>
    <t>Xã Bản Lầu - Xã Cao Sơn</t>
  </si>
  <si>
    <t>778/QĐ-UBND ngày 24/3/2025</t>
  </si>
  <si>
    <t>Đường kết nối trung tâm thành phố Lào Cai - Trung tâm xã Đồng Tuyển, thành phố Lào Cai.</t>
  </si>
  <si>
    <t>1616/QĐ-UBND ngày  21/7/2022</t>
  </si>
  <si>
    <t>Nâng cấp, mở rộng các nhánh kết nối nút giao IC19 thuộc đường cao tốc Nội Bài - Lào Cai với QL4D và TL155</t>
  </si>
  <si>
    <t>3672/QĐ-UBND ngày  24/12/2024</t>
  </si>
  <si>
    <t>XXI</t>
  </si>
  <si>
    <t>Khu cây xanh cảnh quan phường Bình Minh, thành phố Lào Cai</t>
  </si>
  <si>
    <t>1626/QĐ-UBND ngày  17/5/2021; 2223/QĐ-UBND ngày  27/6/2025</t>
  </si>
  <si>
    <t>Quản lý, cải tạo rừng phòng hộ bảo vệ môi trường tại phường Bắc Cường, thành phố Lào Cai</t>
  </si>
  <si>
    <t>3640/QĐ-UBND ngày  31/10/2019</t>
  </si>
  <si>
    <t>Khu dân cư tổ 12, phường Nam Cường</t>
  </si>
  <si>
    <t>16/QĐ-UBND ngày  15/7/2022</t>
  </si>
  <si>
    <t>San gạt mặt bằng khu vực đền Đôi Cô, phường Bình Minh, thành phố Lào Cai</t>
  </si>
  <si>
    <t>1044/QĐ-UBND ngày 08/5/2024</t>
  </si>
  <si>
    <t>San gạt mặt bằng và hạ tầng kỹ thuật Tiểu khu đô thị số 6,7 thành phố Lào Cai</t>
  </si>
  <si>
    <t xml:space="preserve"> 1028/QĐ-UBND ngày 05/4/2025</t>
  </si>
  <si>
    <t>Xây dựng khu dân cư nông thôn mới xã Cảm Ân (giáp chợ mới)</t>
  </si>
  <si>
    <t>Xã Bảo Ái, tỉnh Lào Cai</t>
  </si>
  <si>
    <t>144/QĐ-UBND ngày 28/6/2024</t>
  </si>
  <si>
    <t>Xây dựng khu dân cư nông thôn mới thôn Ngòi Khang, xã Bảo Ái</t>
  </si>
  <si>
    <t>135/QĐ-UBND ngày 23/7/2024</t>
  </si>
  <si>
    <t>XXII</t>
  </si>
  <si>
    <t>Quy hoạch chi tiết Khu tập thể nhà máy cơ khí, đường, rượu, giấy, mộc, phường Nguyễn Phúc</t>
  </si>
  <si>
    <t>1301/QĐ-UBND ngày 09/4/2025</t>
  </si>
  <si>
    <t>XXIII</t>
  </si>
  <si>
    <t>Chương trình phát triển đô thị thị xã Nghĩa Lộ giai đoạn 2022-2025; định hướng đến năm 2030</t>
  </si>
  <si>
    <t>1318/QĐ-UBND ngày 09/8/2022</t>
  </si>
  <si>
    <t>CHI QLNN, HOẠT ĐỘNG ĐẢNG ĐOÀN THỂ</t>
  </si>
  <si>
    <t>Cải tạo, sửa chữa và mở rộng nhà thực hành Khoa Kinh tế - Du lịch, trường Cao đẳng Lào Cai</t>
  </si>
  <si>
    <t>07/QĐ-UBND ngày 01/2025</t>
  </si>
  <si>
    <t>Mở rộng khuôn viên Trụ sở làm việc - Chi cục Kiểm lâm tỉnh Lào Cai</t>
  </si>
  <si>
    <t>214/QĐ-UBND ngày 29/01/2024</t>
  </si>
  <si>
    <t>Cải tạo, sửa chữa, nâng cấp Trại nghiên cứu và sản xuất rau quả Bắc Hà</t>
  </si>
  <si>
    <t>1867/QĐ-UBND ngày 13/6/2025</t>
  </si>
  <si>
    <t>Cải tạo, sửa chữa, nâng cấp Trại nghiên cứu, thực nghiệm và chuyển giao nông nghiệp công nghệ cao</t>
  </si>
  <si>
    <t>1865/QĐ-UBND ngày 13/6/2025</t>
  </si>
  <si>
    <t>Cải tạo, sửa chữa Thư viện tỉnh Yên Bái</t>
  </si>
  <si>
    <t>2680/QĐ-UBND ngày 26/12/2024</t>
  </si>
  <si>
    <t>2356/QĐ-UBND ngày 25/11/2024; 1011/QĐ-UBND ngày 14/5/2025</t>
  </si>
  <si>
    <t>1017/QĐ-UBND ngày 16/6/2023; 1241/QĐ-UBND ngày 13/6/2024; 1090/QĐ-UBND ngày 10/9/2025; 1965/QĐ-UBND ngày 11/11/2025</t>
  </si>
  <si>
    <t>Cải tạo, nâng cấp Trụ sở Viện kiểm sát nhân dân tỉnh</t>
  </si>
  <si>
    <t>2240/QĐ-UBND ngày 13/09/2023; 2082/QĐ-UBND ngày26/11/2025</t>
  </si>
  <si>
    <t>Xây dựng hoàn chỉnh Kho lưu trữ thuộc Trung tâm Lưu trữ lịch sử tỉnh Lào Cai </t>
  </si>
  <si>
    <t>2696/QĐ-UBND ngày10/11/2022</t>
  </si>
  <si>
    <t>Dự án xây dựng nhà khách số 1- Trung tâm Hội nghị tỉnh Lào Cai</t>
  </si>
  <si>
    <t>52/NQ-HĐND ngày 08/12/2023; 77/NQ-HĐND ngày 06/12/20224</t>
  </si>
  <si>
    <t>Nâng cấp cơ sở cai nghiện ma túy số 1 tỉnh Lào Cai</t>
  </si>
  <si>
    <t>41/NQ-HĐND ngày 04/12/2020;  1918/QĐ-UBND ngày 04/6/2021</t>
  </si>
  <si>
    <t>Trụ sở hợp khối các đơn vị trực thuộc Sở Y tế tỉnh Lào Cai</t>
  </si>
  <si>
    <t>2562/QĐ-UBND ngày 01/11/2022; 923/QĐ-UBND ngày 21/4/2023</t>
  </si>
  <si>
    <t>Trụ sở làm việc hạt kiểm lâm huyện Bảo Thắng</t>
  </si>
  <si>
    <t xml:space="preserve"> 2776/QĐ-UBND ngày 07/11/2023</t>
  </si>
  <si>
    <t>Trụ sở làm việc hạt kiểm lâm Thành phố Lào Cai</t>
  </si>
  <si>
    <t xml:space="preserve"> 2680/QĐ-UBND ngày 30/10/2023</t>
  </si>
  <si>
    <t>Trụ sở làm việc hạt kiểm lâm huyện Mường Khương</t>
  </si>
  <si>
    <t xml:space="preserve"> 2980/QĐ-UBND ngày 24/11/2023</t>
  </si>
  <si>
    <t>Xây dựng mới nhà khách, cải tạo nhà khách A, B và các công trình phụ trợ tại trụ sở tỉnh ủy, phường Nam Cường, TP Lào Cai</t>
  </si>
  <si>
    <t xml:space="preserve"> 3166/QĐ-UBND ngày 13/12/2023; 02/NQ-HĐND ngày 15/01/2024; 2171/QĐ-UBND ngày 26/08/2024</t>
  </si>
  <si>
    <t xml:space="preserve">Cải tạo, sửa chữa Trung tâm Hội nghị tỉnh </t>
  </si>
  <si>
    <t xml:space="preserve"> 50/QĐ-UBND ngày 09/01/2024; 02/NQ-HĐND ngày 15/01/2024;  1613/QĐ-UBND ngày 01/7/2024</t>
  </si>
  <si>
    <t>Trụ sở làm việc các cơ quan hành chính thị xã Sa Pa</t>
  </si>
  <si>
    <t>3496/QĐ-UBND ngày 31/10/2018; NQ 52-8/12/2023; 1680/QĐ-UBND ngày 05/7/2024</t>
  </si>
  <si>
    <t>241/QĐ-UBND ngày 07/02/2024; 391/QĐ-UBND ngày 06/3/2025</t>
  </si>
  <si>
    <t>Trụ sở hành chính mới huyện Bảo Thắng</t>
  </si>
  <si>
    <t>1417/QĐ-UBND ngày  13/6/2023</t>
  </si>
  <si>
    <t>Xây mới trụ sở Đảng ủy-HĐND-UBND xã Dương Quỳ huyện Văn Bàn</t>
  </si>
  <si>
    <t>Xã Dương Quỳ</t>
  </si>
  <si>
    <t>1575/QĐ-UBND ngày  13/5/2021</t>
  </si>
  <si>
    <t>Hội trường UBND huyện Bảo Yên</t>
  </si>
  <si>
    <t>1366/QĐ-UBND ngày 28/4/2021; 380/QĐ-UBND ngày 14/02/2023</t>
  </si>
  <si>
    <t>Trụ sở làm việc Đảng ủy - HĐND -UBND phường Cầu Mây, thị xã Sa Pa</t>
  </si>
  <si>
    <t xml:space="preserve"> 101/QĐ-UBND ngày  17/01/2022; 1679/QĐ-UBND ngày  05/07/2024</t>
  </si>
  <si>
    <t>Nhà đa năng cụm trường xã Sín Chéng, huyện Si Ma Cai</t>
  </si>
  <si>
    <t>Xã Sín Chéng</t>
  </si>
  <si>
    <t xml:space="preserve"> 130/QĐ-UBND ngày  14/11/2024</t>
  </si>
  <si>
    <t>Sửa chữa nhà làm việc Huyện ủy huyện Si Ma Cai</t>
  </si>
  <si>
    <t xml:space="preserve"> 151/QĐ-UBND ngày  30/06/2025</t>
  </si>
  <si>
    <t>Nâng cấp, sửa chữa nhà khách UBND huyện Si Ma Cai</t>
  </si>
  <si>
    <t xml:space="preserve"> 156/QĐ-UBND ngày  30/06/2025</t>
  </si>
  <si>
    <t>Trụ sở hành chính huyện Bắc Hà</t>
  </si>
  <si>
    <t>3065;/QĐ-UBND ngày  01/12/2023</t>
  </si>
  <si>
    <t>Trụ sở làm việc Đảng ủy - HĐND - UBND xã Lùng Cải</t>
  </si>
  <si>
    <t>1671/QĐ-UBND ngày  12/6/2023</t>
  </si>
  <si>
    <t>Cải tạo, nâng cấp công viên cây xanh trước trụ sở Huyện ủy, huyện Văn Yên, tỉnh Yên Bái</t>
  </si>
  <si>
    <t>4552/QĐ-UBND ngày 01/10/2024</t>
  </si>
  <si>
    <t>Mở rộng, cải tạo trụ sở làm việc Đảng ủy, Hội đồng nhân dân và Ủy ban nhân dân phường Nam Cường phục vụ hoạt động của phường Nam Cường (mới) sau thành lập</t>
  </si>
  <si>
    <t>2444/QĐ-UBND ngày 23/6/2025</t>
  </si>
  <si>
    <t>Đề án công nhận thị trấn Mậu A, huyện Văn Yên, tỉnh Yên Bái là đô thị loại IV</t>
  </si>
  <si>
    <t>601/UBND-XD ngày 28/02/2024; 1012/QĐ-UBND ngày 21/3/2024</t>
  </si>
  <si>
    <t>Trả nợ gốc chính quyền địa phương</t>
  </si>
  <si>
    <t>Cấp vốn điều lệ các quỹ tài chính</t>
  </si>
  <si>
    <t>Thực hiện côngtacs phân bổ dự án chuẩn bị đầu tư</t>
  </si>
  <si>
    <t>Vốn chưa phân bổ</t>
  </si>
  <si>
    <t>Chi đo đạc, cấp giấy chứng nhận, xây dựng cơ sở dữ liệu đất đai từ 10% thu tiền sử dụng đất cấp tỉnh</t>
  </si>
  <si>
    <t>Chi dự án đầu tư khoa học, công nghệ, đổi mới sáng tạo và chuyển đổi số</t>
  </si>
  <si>
    <t>Chi  các dự án thuộc kế hoạch vốn cấp xã chuyển vào kế hoạch vốn cấp tỉnh</t>
  </si>
  <si>
    <t>VỐn vay chưa phân bổ</t>
  </si>
  <si>
    <t>Kế hoạch vốn năm 2026</t>
  </si>
  <si>
    <t xml:space="preserve"> DANH MỤC CÁC CHƯƠNG TRÌNH, DỰ ÁN SỬ DỤNG VỐN NGÂN SÁCH NHÀ NƯỚC NĂM 2026</t>
  </si>
  <si>
    <t>UBND TỈNH LÀO CAI</t>
  </si>
  <si>
    <t>CÂN ĐỐI NGÂN SÁCH ĐỊA PHƯƠNG NĂM 2026</t>
  </si>
  <si>
    <t>DỰ TOÁN THU NGÂN SÁCH NHÀ NƯỚC NĂM 2026</t>
  </si>
  <si>
    <t>UBND TỈNH LÀO CAI                                                                             Biểu số 50/CK-NSNN</t>
  </si>
  <si>
    <t>DỰ TOÁN CHI NGÂN SÁCH CẤP TỈNH THEO LĨNH VỰC NĂM 2026</t>
  </si>
  <si>
    <t>GIỮA NGÂN SÁCH CÁC CẤP CHÍNH QUYỀN ĐỊA PHƯƠNG NĂM 2026</t>
  </si>
  <si>
    <t>CHI BỔ SUNG CÂN ĐỐI CHO NGÂN SÁCH XÃ</t>
  </si>
  <si>
    <t>Thu ngân sách xã hưởng 100%</t>
  </si>
  <si>
    <t>Tổng chi trong cân đối ngân sách xã năm 2025</t>
  </si>
  <si>
    <t>DỰ TOÁN THU, SỐ BỔ SUNG VÀ DỰ TOÁN CHI CÂN ĐỐI NGÂN SÁCH TỪNG XÃ, PHƯỜNG NĂM 2026</t>
  </si>
  <si>
    <t>CHO NGÂN SÁCH TỪNG XÃ, PHƯỜNG NĂM 2026</t>
  </si>
  <si>
    <t>DỰ TOÁN CHI CHƯƠNG TRÌNH MỤC TIÊU QUỐC GIA NGÂN SÁCH CẤP TỈNH VÀ NGÂN SÁCH XÃ, PHƯỜNG</t>
  </si>
  <si>
    <t xml:space="preserve"> VÀ NGÂN SÁCH XÃ, PHƯỜNG NĂM 2026</t>
  </si>
  <si>
    <t>DỰ TOÁN CHI NGÂN SÁCH ĐỊA PHƯƠNG, CHI NGÂN SÁCH CẤP TỈNH
VÀ CHI NGÂN SÁCH XÃ, PHƯỜNG THEO CƠ CẤU CHI NĂM 2026</t>
  </si>
  <si>
    <t>Thu ngân sách xã, phường được hưởng theo phân cấp</t>
  </si>
  <si>
    <t>Thu ngân sách xã được hưởng theo phân cấp</t>
  </si>
  <si>
    <t>Chi bổ sung cho ngân sách xã</t>
  </si>
  <si>
    <t>Thu ngân sách xã hưởng từ các khoản thu phân chia (theo phân cấp HĐND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</si>
</sst>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_-;\-* #,##0.00\ _₫_-;_-* &quot;-&quot;??\ _₫_-;_-@_-"/>
    <numFmt numFmtId="165" formatCode="_-* #,##0\ _₫_-;\-* #,##0\ _₫_-;_-* &quot;-&quot;??\ _₫_-;_-@_-"/>
    <numFmt numFmtId="166" formatCode="#,##0_ ;\-#,##0\ "/>
    <numFmt numFmtId="167" formatCode="_(* #,##0_);_(* \(#,##0\);_(* &quot;-&quot;??_);_(@_)"/>
  </numFmts>
  <fonts count="105">
    <font>
      <sz val="10"/>
      <name val="Arial"/>
    </font>
    <font>
      <sz val="11"/>
      <color theme="1"/>
      <name val="Calibri"/>
      <family val="2"/>
      <scheme val="minor"/>
    </font>
    <font>
      <b/>
      <sz val="14"/>
      <name val="Times New Roman"/>
      <family val="1"/>
    </font>
    <font>
      <b/>
      <sz val="12"/>
      <name val="Times New Roman"/>
      <family val="1"/>
    </font>
    <font>
      <sz val="12"/>
      <name val="Times New Roman"/>
      <family val="1"/>
    </font>
    <font>
      <sz val="8"/>
      <name val="Arial"/>
      <family val="2"/>
    </font>
    <font>
      <sz val="10"/>
      <name val="Times New Roman"/>
      <family val="1"/>
    </font>
    <font>
      <sz val="10"/>
      <name val="Arial"/>
      <family val="2"/>
    </font>
    <font>
      <sz val="10"/>
      <name val=".VnArial Narrow"/>
      <family val="2"/>
    </font>
    <font>
      <b/>
      <sz val="10"/>
      <name val="Arial"/>
      <family val="2"/>
    </font>
    <font>
      <b/>
      <sz val="13"/>
      <name val=".VnTime"/>
      <family val="2"/>
    </font>
    <font>
      <b/>
      <sz val="12"/>
      <name val=".VnTime"/>
      <family val="2"/>
    </font>
    <font>
      <b/>
      <sz val="12"/>
      <name val="Times New Roman"/>
      <family val="1"/>
      <charset val="163"/>
    </font>
    <font>
      <i/>
      <sz val="12"/>
      <name val="Times New Roman"/>
      <family val="1"/>
      <charset val="163"/>
    </font>
    <font>
      <b/>
      <sz val="10"/>
      <name val="Times New Roman"/>
      <family val="1"/>
      <charset val="163"/>
    </font>
    <font>
      <sz val="10"/>
      <name val="Times New Roman"/>
      <family val="1"/>
      <charset val="163"/>
    </font>
    <font>
      <sz val="12"/>
      <name val="Times New Roman"/>
      <family val="1"/>
      <charset val="163"/>
    </font>
    <font>
      <b/>
      <sz val="14"/>
      <name val="Times New Roman"/>
      <family val="1"/>
      <charset val="163"/>
    </font>
    <font>
      <b/>
      <sz val="9"/>
      <name val="Times New Roman"/>
      <family val="1"/>
      <charset val="163"/>
    </font>
    <font>
      <sz val="9"/>
      <name val="Times New Roman"/>
      <family val="1"/>
      <charset val="163"/>
    </font>
    <font>
      <sz val="14"/>
      <name val="Times New Roman"/>
      <family val="1"/>
    </font>
    <font>
      <i/>
      <sz val="14"/>
      <name val="Times New Roman"/>
      <family val="1"/>
    </font>
    <font>
      <i/>
      <sz val="14"/>
      <name val="Times New Roman"/>
      <family val="1"/>
      <charset val="163"/>
    </font>
    <font>
      <sz val="8"/>
      <name val="Arial"/>
      <family val="2"/>
    </font>
    <font>
      <sz val="10"/>
      <name val="Arial"/>
      <family val="2"/>
      <charset val="163"/>
    </font>
    <font>
      <sz val="11"/>
      <color indexed="8"/>
      <name val="Calibri"/>
      <family val="2"/>
    </font>
    <font>
      <sz val="14"/>
      <color theme="1"/>
      <name val="Times New Roman"/>
      <family val="2"/>
    </font>
    <font>
      <sz val="12"/>
      <name val=".VnArial Narrow"/>
      <family val="2"/>
    </font>
    <font>
      <b/>
      <sz val="12"/>
      <color theme="1"/>
      <name val="Times New Roman"/>
      <family val="1"/>
    </font>
    <font>
      <sz val="10"/>
      <name val="Arial"/>
      <family val="2"/>
    </font>
    <font>
      <sz val="11"/>
      <color theme="1"/>
      <name val="Calibri"/>
      <family val="2"/>
      <scheme val="minor"/>
    </font>
    <font>
      <sz val="11"/>
      <color indexed="8"/>
      <name val="Helvetica Neue"/>
    </font>
    <font>
      <b/>
      <sz val="9"/>
      <name val=".VnArial Narrow"/>
      <family val="2"/>
      <charset val="163"/>
    </font>
    <font>
      <i/>
      <sz val="10"/>
      <name val="Times New Roman"/>
      <family val="1"/>
    </font>
    <font>
      <i/>
      <sz val="12"/>
      <color rgb="FFFF0000"/>
      <name val="Times New Roman"/>
      <family val="1"/>
      <charset val="163"/>
    </font>
    <font>
      <sz val="14"/>
      <name val="Times New Roman"/>
      <family val="1"/>
      <charset val="163"/>
    </font>
    <font>
      <b/>
      <sz val="13"/>
      <name val="Times New Roman"/>
      <family val="1"/>
      <charset val="163"/>
    </font>
    <font>
      <sz val="13"/>
      <name val="Times New Roman"/>
      <family val="1"/>
      <charset val="163"/>
    </font>
    <font>
      <i/>
      <sz val="13"/>
      <name val="Times New Roman"/>
      <family val="1"/>
      <charset val="163"/>
    </font>
    <font>
      <b/>
      <sz val="12"/>
      <color rgb="FFFF0000"/>
      <name val="Times New Roman"/>
      <family val="1"/>
      <charset val="163"/>
    </font>
    <font>
      <sz val="10"/>
      <color rgb="FFFF0000"/>
      <name val="Arial"/>
      <family val="2"/>
    </font>
    <font>
      <b/>
      <sz val="14"/>
      <color rgb="FFFF0000"/>
      <name val="Times New Roman"/>
      <family val="1"/>
      <charset val="163"/>
    </font>
    <font>
      <i/>
      <sz val="14"/>
      <color rgb="FFFF0000"/>
      <name val="Times New Roman"/>
      <family val="1"/>
      <charset val="163"/>
    </font>
    <font>
      <sz val="12"/>
      <color rgb="FFFF0000"/>
      <name val="Times New Roman"/>
      <family val="1"/>
      <charset val="163"/>
    </font>
    <font>
      <sz val="14"/>
      <color rgb="FFFF0000"/>
      <name val="Times New Roman"/>
      <family val="1"/>
      <charset val="163"/>
    </font>
    <font>
      <sz val="14"/>
      <color rgb="FFFF0000"/>
      <name val="Arial"/>
      <family val="2"/>
      <charset val="163"/>
    </font>
    <font>
      <sz val="10"/>
      <color rgb="FFFF0000"/>
      <name val="Arial"/>
      <family val="2"/>
      <charset val="163"/>
    </font>
    <font>
      <b/>
      <sz val="10"/>
      <color rgb="FFFF0000"/>
      <name val="Arial"/>
      <family val="2"/>
      <charset val="163"/>
    </font>
    <font>
      <b/>
      <sz val="13"/>
      <color rgb="FFFF0000"/>
      <name val="Times New Roman"/>
      <family val="1"/>
      <charset val="163"/>
    </font>
    <font>
      <sz val="13"/>
      <color rgb="FFFF0000"/>
      <name val="Times New Roman"/>
      <family val="1"/>
      <charset val="163"/>
    </font>
    <font>
      <sz val="9"/>
      <color rgb="FFFF0000"/>
      <name val="Times New Roman"/>
      <family val="1"/>
      <charset val="163"/>
    </font>
    <font>
      <sz val="10"/>
      <color rgb="FFFF0000"/>
      <name val="Times New Roman"/>
      <family val="1"/>
      <charset val="163"/>
    </font>
    <font>
      <b/>
      <sz val="10"/>
      <color rgb="FFFF0000"/>
      <name val="Times New Roman"/>
      <family val="1"/>
      <charset val="163"/>
    </font>
    <font>
      <sz val="10"/>
      <name val=".VnArial Narrow"/>
      <family val="2"/>
      <charset val="163"/>
    </font>
    <font>
      <b/>
      <sz val="14"/>
      <name val=".VnArial NarrowH"/>
      <family val="2"/>
      <charset val="163"/>
    </font>
    <font>
      <i/>
      <sz val="14"/>
      <name val=".VnArial NarrowH"/>
      <family val="2"/>
      <charset val="163"/>
    </font>
    <font>
      <b/>
      <sz val="10"/>
      <name val=".VnArial Narrow"/>
      <family val="2"/>
      <charset val="163"/>
    </font>
    <font>
      <b/>
      <u/>
      <sz val="10"/>
      <name val="Times New Roman"/>
      <family val="1"/>
      <charset val="163"/>
    </font>
    <font>
      <b/>
      <sz val="13"/>
      <name val=".VnTime"/>
      <family val="2"/>
      <charset val="163"/>
    </font>
    <font>
      <b/>
      <sz val="12"/>
      <name val=".VnTime"/>
      <family val="2"/>
      <charset val="163"/>
    </font>
    <font>
      <sz val="12"/>
      <name val="Arial"/>
      <family val="2"/>
      <charset val="163"/>
    </font>
    <font>
      <b/>
      <sz val="10"/>
      <name val="Arial"/>
      <family val="2"/>
      <charset val="163"/>
    </font>
    <font>
      <sz val="14"/>
      <name val=".VnTime"/>
      <family val="2"/>
      <charset val="163"/>
    </font>
    <font>
      <b/>
      <sz val="16"/>
      <color rgb="FFFF0000"/>
      <name val="Times New Roman"/>
      <family val="1"/>
      <charset val="163"/>
    </font>
    <font>
      <b/>
      <sz val="18"/>
      <color rgb="FFFF0000"/>
      <name val="Times New Roman"/>
      <family val="1"/>
      <charset val="163"/>
    </font>
    <font>
      <i/>
      <sz val="18"/>
      <color rgb="FFFF0000"/>
      <name val="Times New Roman"/>
      <family val="1"/>
      <charset val="163"/>
    </font>
    <font>
      <b/>
      <i/>
      <sz val="14"/>
      <color rgb="FFFF0000"/>
      <name val="Times New Roman"/>
      <family val="1"/>
      <charset val="163"/>
    </font>
    <font>
      <u/>
      <sz val="14"/>
      <color rgb="FFFF0000"/>
      <name val="Times New Roman"/>
      <family val="1"/>
      <charset val="163"/>
    </font>
    <font>
      <b/>
      <i/>
      <sz val="12"/>
      <name val="Times New Roman"/>
      <family val="1"/>
    </font>
    <font>
      <b/>
      <u/>
      <sz val="12"/>
      <name val="Times New Roman"/>
      <family val="1"/>
    </font>
    <font>
      <i/>
      <sz val="12"/>
      <name val="Times New Roman"/>
      <family val="1"/>
    </font>
    <font>
      <b/>
      <i/>
      <sz val="12"/>
      <color theme="3" tint="-0.249977111117893"/>
      <name val="Times New Roman"/>
      <family val="1"/>
    </font>
    <font>
      <sz val="12"/>
      <color rgb="FFFF0000"/>
      <name val="Times New Roman"/>
      <family val="1"/>
    </font>
    <font>
      <b/>
      <sz val="11"/>
      <name val="Times New Roman"/>
      <family val="1"/>
      <charset val="163"/>
    </font>
    <font>
      <b/>
      <sz val="14"/>
      <name val="Arial"/>
      <family val="2"/>
      <charset val="163"/>
    </font>
    <font>
      <sz val="14"/>
      <name val="Arial"/>
      <family val="2"/>
      <charset val="163"/>
    </font>
    <font>
      <i/>
      <sz val="14"/>
      <name val="Arial"/>
      <family val="2"/>
      <charset val="163"/>
    </font>
    <font>
      <sz val="11"/>
      <name val="Times New Roman"/>
      <family val="1"/>
      <charset val="163"/>
    </font>
    <font>
      <i/>
      <sz val="10"/>
      <name val="Arial"/>
      <family val="2"/>
      <charset val="163"/>
    </font>
    <font>
      <b/>
      <u/>
      <sz val="14"/>
      <name val="Times New Roman"/>
      <family val="1"/>
      <charset val="163"/>
    </font>
    <font>
      <b/>
      <sz val="15"/>
      <name val="Times New Roman"/>
      <family val="1"/>
      <charset val="163"/>
    </font>
    <font>
      <i/>
      <sz val="15"/>
      <name val="Times New Roman"/>
      <family val="1"/>
      <charset val="163"/>
    </font>
    <font>
      <b/>
      <sz val="13"/>
      <name val="Times New Roman"/>
      <family val="1"/>
    </font>
    <font>
      <sz val="13"/>
      <name val="Times New Roman"/>
      <family val="1"/>
    </font>
    <font>
      <sz val="12"/>
      <color theme="1"/>
      <name val="Times New Roman"/>
      <family val="2"/>
    </font>
    <font>
      <b/>
      <u/>
      <sz val="14"/>
      <name val="Times New Roman"/>
      <family val="1"/>
    </font>
    <font>
      <sz val="12"/>
      <color theme="0"/>
      <name val="Times New Roman"/>
      <family val="1"/>
    </font>
    <font>
      <b/>
      <sz val="12"/>
      <color theme="0"/>
      <name val="Times New Roman"/>
      <family val="1"/>
    </font>
    <font>
      <b/>
      <u/>
      <sz val="12"/>
      <color theme="0"/>
      <name val="Times New Roman"/>
      <family val="1"/>
    </font>
    <font>
      <sz val="12"/>
      <color theme="1"/>
      <name val="Times New Roman"/>
      <family val="1"/>
    </font>
    <font>
      <sz val="14"/>
      <color theme="1"/>
      <name val="Times New Roman"/>
      <family val="1"/>
    </font>
    <font>
      <b/>
      <sz val="14"/>
      <color theme="1"/>
      <name val="Times New Roman"/>
      <family val="1"/>
    </font>
    <font>
      <b/>
      <i/>
      <sz val="12"/>
      <color rgb="FFFF0000"/>
      <name val="Times New Roman"/>
      <family val="1"/>
    </font>
    <font>
      <b/>
      <sz val="12"/>
      <color rgb="FFFF0000"/>
      <name val="Times New Roman"/>
      <family val="1"/>
    </font>
    <font>
      <sz val="13"/>
      <color theme="1"/>
      <name val="Times New Roman"/>
      <family val="1"/>
    </font>
    <font>
      <b/>
      <i/>
      <sz val="12"/>
      <color theme="1"/>
      <name val="Times New Roman"/>
      <family val="1"/>
    </font>
    <font>
      <i/>
      <sz val="13"/>
      <color rgb="FF0000FF"/>
      <name val="Times New Roman"/>
      <family val="1"/>
    </font>
    <font>
      <i/>
      <sz val="14"/>
      <color rgb="FF0000FF"/>
      <name val="Times New Roman"/>
      <family val="1"/>
    </font>
    <font>
      <sz val="12"/>
      <color rgb="FF000000"/>
      <name val="Calibri"/>
      <family val="1"/>
      <scheme val="minor"/>
    </font>
    <font>
      <b/>
      <sz val="9"/>
      <color indexed="81"/>
      <name val="Tahoma"/>
      <family val="2"/>
    </font>
    <font>
      <sz val="9"/>
      <color indexed="81"/>
      <name val="Tahoma"/>
      <family val="2"/>
    </font>
    <font>
      <sz val="8"/>
      <name val="Times New Roman"/>
      <family val="1"/>
      <charset val="163"/>
    </font>
    <font>
      <sz val="14"/>
      <color theme="0"/>
      <name val="Times New Roman"/>
      <family val="1"/>
    </font>
    <font>
      <b/>
      <i/>
      <sz val="12"/>
      <color theme="0"/>
      <name val="Times New Roman"/>
      <family val="1"/>
    </font>
    <font>
      <i/>
      <sz val="12"/>
      <color theme="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s>
  <cellStyleXfs count="30">
    <xf numFmtId="0" fontId="0" fillId="0" borderId="0"/>
    <xf numFmtId="43" fontId="7" fillId="0" borderId="0" applyFont="0" applyFill="0" applyBorder="0" applyAlignment="0" applyProtection="0"/>
    <xf numFmtId="0" fontId="6" fillId="0" borderId="0"/>
    <xf numFmtId="0" fontId="6" fillId="0" borderId="0"/>
    <xf numFmtId="0" fontId="24" fillId="0" borderId="0"/>
    <xf numFmtId="43" fontId="25" fillId="0" borderId="0" applyFont="0" applyFill="0" applyBorder="0" applyAlignment="0" applyProtection="0"/>
    <xf numFmtId="0" fontId="26" fillId="0" borderId="0"/>
    <xf numFmtId="43" fontId="25" fillId="0" borderId="0" applyFont="0" applyFill="0" applyBorder="0" applyAlignment="0" applyProtection="0"/>
    <xf numFmtId="43" fontId="25" fillId="0" borderId="0" applyFont="0" applyFill="0" applyBorder="0" applyAlignment="0" applyProtection="0"/>
    <xf numFmtId="0" fontId="27" fillId="0" borderId="0"/>
    <xf numFmtId="0" fontId="7" fillId="0" borderId="0"/>
    <xf numFmtId="0" fontId="7" fillId="0" borderId="0"/>
    <xf numFmtId="0" fontId="7" fillId="0" borderId="0"/>
    <xf numFmtId="164" fontId="29" fillId="0" borderId="0" applyFont="0" applyFill="0" applyBorder="0" applyAlignment="0" applyProtection="0"/>
    <xf numFmtId="0" fontId="30" fillId="0" borderId="0"/>
    <xf numFmtId="0" fontId="31" fillId="0" borderId="0" applyNumberFormat="0" applyFill="0" applyBorder="0" applyProtection="0">
      <alignment vertical="top"/>
    </xf>
    <xf numFmtId="0" fontId="7" fillId="0" borderId="0"/>
    <xf numFmtId="164" fontId="7" fillId="0" borderId="0" applyFont="0" applyFill="0" applyBorder="0" applyAlignment="0" applyProtection="0"/>
    <xf numFmtId="9" fontId="25" fillId="0" borderId="0" applyFont="0" applyFill="0" applyBorder="0" applyAlignment="0" applyProtection="0"/>
    <xf numFmtId="43" fontId="30" fillId="0" borderId="0" applyFont="0" applyFill="0" applyBorder="0" applyAlignment="0" applyProtection="0"/>
    <xf numFmtId="0" fontId="4" fillId="0" borderId="0"/>
    <xf numFmtId="43" fontId="25" fillId="0" borderId="0" applyFont="0" applyFill="0" applyBorder="0" applyAlignment="0" applyProtection="0"/>
    <xf numFmtId="9" fontId="25" fillId="0" borderId="0" applyFont="0" applyFill="0" applyBorder="0" applyAlignment="0" applyProtection="0"/>
    <xf numFmtId="0" fontId="84" fillId="0" borderId="0"/>
    <xf numFmtId="0" fontId="4" fillId="0" borderId="0"/>
    <xf numFmtId="0" fontId="1" fillId="0" borderId="0"/>
    <xf numFmtId="164" fontId="1" fillId="0" borderId="0" applyFont="0" applyFill="0" applyBorder="0" applyAlignment="0" applyProtection="0"/>
    <xf numFmtId="43" fontId="25" fillId="0" borderId="0" applyFont="0" applyFill="0" applyBorder="0" applyAlignment="0" applyProtection="0"/>
    <xf numFmtId="164" fontId="7" fillId="0" borderId="0" applyFont="0" applyFill="0" applyBorder="0" applyAlignment="0" applyProtection="0"/>
    <xf numFmtId="9" fontId="1" fillId="0" borderId="0" applyFont="0" applyFill="0" applyBorder="0" applyAlignment="0" applyProtection="0"/>
  </cellStyleXfs>
  <cellXfs count="841">
    <xf numFmtId="0" fontId="0" fillId="0" borderId="0" xfId="0"/>
    <xf numFmtId="0" fontId="0" fillId="0" borderId="0" xfId="0" applyAlignment="1">
      <alignment vertical="center"/>
    </xf>
    <xf numFmtId="3" fontId="0" fillId="0" borderId="0" xfId="0" applyNumberFormat="1" applyAlignment="1">
      <alignment vertical="center"/>
    </xf>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4" fillId="0" borderId="1" xfId="0" applyFont="1" applyBorder="1" applyAlignment="1">
      <alignment horizontal="center" vertical="center" wrapText="1"/>
    </xf>
    <xf numFmtId="3" fontId="21" fillId="0" borderId="0" xfId="0" applyNumberFormat="1" applyFont="1" applyAlignment="1">
      <alignment horizontal="center" vertical="center"/>
    </xf>
    <xf numFmtId="3" fontId="16" fillId="0" borderId="1" xfId="0" applyNumberFormat="1" applyFont="1" applyBorder="1" applyAlignment="1">
      <alignment horizontal="center" vertical="center" wrapText="1"/>
    </xf>
    <xf numFmtId="3" fontId="16" fillId="0" borderId="0" xfId="0" applyNumberFormat="1" applyFont="1" applyAlignment="1">
      <alignment vertical="center" wrapText="1"/>
    </xf>
    <xf numFmtId="0" fontId="16" fillId="0" borderId="0" xfId="0" applyFont="1" applyAlignment="1">
      <alignment vertical="center" wrapText="1"/>
    </xf>
    <xf numFmtId="3" fontId="4" fillId="0" borderId="1" xfId="0" applyNumberFormat="1" applyFont="1" applyBorder="1" applyAlignment="1">
      <alignment horizontal="center" vertical="center" wrapText="1"/>
    </xf>
    <xf numFmtId="3" fontId="16" fillId="0" borderId="1" xfId="0" applyNumberFormat="1" applyFont="1" applyBorder="1" applyAlignment="1">
      <alignment vertical="center"/>
    </xf>
    <xf numFmtId="0" fontId="24" fillId="0" borderId="0" xfId="0" applyFont="1"/>
    <xf numFmtId="0" fontId="4" fillId="0" borderId="1" xfId="0" applyFont="1" applyBorder="1" applyAlignment="1">
      <alignment horizontal="center" vertical="center"/>
    </xf>
    <xf numFmtId="0" fontId="16" fillId="0" borderId="1" xfId="0" applyFont="1" applyBorder="1" applyAlignment="1">
      <alignment horizontal="center" vertical="center" wrapText="1"/>
    </xf>
    <xf numFmtId="0" fontId="12" fillId="0" borderId="1" xfId="0" applyFont="1" applyBorder="1" applyAlignment="1">
      <alignment vertical="center" wrapText="1"/>
    </xf>
    <xf numFmtId="3" fontId="12" fillId="0" borderId="1" xfId="0" applyNumberFormat="1" applyFont="1" applyBorder="1" applyAlignment="1">
      <alignment horizontal="center" vertical="center"/>
    </xf>
    <xf numFmtId="3" fontId="12" fillId="0" borderId="0" xfId="0" applyNumberFormat="1" applyFont="1" applyAlignment="1">
      <alignment vertical="center" wrapText="1"/>
    </xf>
    <xf numFmtId="0" fontId="12" fillId="0" borderId="0" xfId="0" applyFont="1" applyAlignment="1">
      <alignment vertical="center" wrapText="1"/>
    </xf>
    <xf numFmtId="0" fontId="6" fillId="0" borderId="0" xfId="0" applyFont="1" applyAlignment="1">
      <alignment horizontal="center" vertical="center"/>
    </xf>
    <xf numFmtId="3" fontId="12" fillId="0" borderId="1" xfId="0" applyNumberFormat="1" applyFont="1" applyBorder="1" applyAlignment="1">
      <alignment vertical="center"/>
    </xf>
    <xf numFmtId="3" fontId="13" fillId="0" borderId="8" xfId="0" applyNumberFormat="1" applyFont="1" applyBorder="1" applyAlignment="1">
      <alignment vertical="center"/>
    </xf>
    <xf numFmtId="3" fontId="12" fillId="0" borderId="1" xfId="0" applyNumberFormat="1" applyFont="1" applyBorder="1" applyAlignment="1">
      <alignment horizontal="center" vertical="center" wrapText="1"/>
    </xf>
    <xf numFmtId="9" fontId="16" fillId="0" borderId="1" xfId="0" applyNumberFormat="1" applyFont="1" applyBorder="1" applyAlignment="1">
      <alignment vertical="center"/>
    </xf>
    <xf numFmtId="3" fontId="13" fillId="0" borderId="0" xfId="0" applyNumberFormat="1" applyFont="1" applyAlignment="1">
      <alignment vertical="center"/>
    </xf>
    <xf numFmtId="3" fontId="20" fillId="0" borderId="1" xfId="0" applyNumberFormat="1" applyFont="1" applyBorder="1" applyAlignment="1">
      <alignment horizontal="right" vertical="center" wrapText="1"/>
    </xf>
    <xf numFmtId="3" fontId="20"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3" fontId="20" fillId="0" borderId="1" xfId="0" applyNumberFormat="1" applyFont="1" applyBorder="1" applyAlignment="1">
      <alignment vertical="center"/>
    </xf>
    <xf numFmtId="3" fontId="2" fillId="0" borderId="1" xfId="12" applyNumberFormat="1" applyFont="1" applyBorder="1" applyAlignment="1">
      <alignment horizontal="right" vertical="center"/>
    </xf>
    <xf numFmtId="3" fontId="12" fillId="0" borderId="0" xfId="16" applyNumberFormat="1" applyFont="1" applyAlignment="1">
      <alignment horizontal="right" vertical="center"/>
    </xf>
    <xf numFmtId="0" fontId="24" fillId="0" borderId="0" xfId="16" applyFont="1"/>
    <xf numFmtId="3" fontId="13" fillId="0" borderId="8" xfId="16" applyNumberFormat="1" applyFont="1" applyBorder="1" applyAlignment="1">
      <alignment horizontal="right" vertical="center"/>
    </xf>
    <xf numFmtId="0" fontId="35" fillId="0" borderId="0" xfId="0" applyFont="1"/>
    <xf numFmtId="0" fontId="17" fillId="0" borderId="1" xfId="16" applyFont="1" applyBorder="1" applyAlignment="1">
      <alignment horizontal="center" vertical="center" wrapText="1"/>
    </xf>
    <xf numFmtId="49" fontId="17" fillId="0" borderId="1" xfId="16" applyNumberFormat="1" applyFont="1" applyBorder="1" applyAlignment="1">
      <alignment horizontal="center" vertical="center" wrapText="1"/>
    </xf>
    <xf numFmtId="3" fontId="17" fillId="0" borderId="1" xfId="16" applyNumberFormat="1" applyFont="1" applyBorder="1" applyAlignment="1">
      <alignment horizontal="right" vertical="center" wrapText="1"/>
    </xf>
    <xf numFmtId="49" fontId="17" fillId="0" borderId="1" xfId="16" applyNumberFormat="1" applyFont="1" applyBorder="1" applyAlignment="1">
      <alignment vertical="center" wrapText="1"/>
    </xf>
    <xf numFmtId="3" fontId="36" fillId="0" borderId="1" xfId="0" applyNumberFormat="1" applyFont="1" applyBorder="1" applyAlignment="1">
      <alignment vertical="center"/>
    </xf>
    <xf numFmtId="0" fontId="35" fillId="0" borderId="1" xfId="16" applyFont="1" applyBorder="1" applyAlignment="1">
      <alignment horizontal="center" vertical="center" wrapText="1"/>
    </xf>
    <xf numFmtId="49" fontId="35" fillId="0" borderId="1" xfId="16" applyNumberFormat="1" applyFont="1" applyBorder="1" applyAlignment="1">
      <alignment vertical="center" wrapText="1"/>
    </xf>
    <xf numFmtId="3" fontId="35" fillId="0" borderId="1" xfId="0" applyNumberFormat="1" applyFont="1" applyBorder="1" applyAlignment="1">
      <alignment vertical="center"/>
    </xf>
    <xf numFmtId="3" fontId="35" fillId="0" borderId="1" xfId="16" applyNumberFormat="1" applyFont="1" applyBorder="1" applyAlignment="1">
      <alignment vertical="center" wrapText="1"/>
    </xf>
    <xf numFmtId="0" fontId="35" fillId="0" borderId="1" xfId="16" quotePrefix="1" applyFont="1" applyBorder="1" applyAlignment="1">
      <alignment horizontal="center" vertical="center" wrapText="1"/>
    </xf>
    <xf numFmtId="3" fontId="37" fillId="0" borderId="1" xfId="0" applyNumberFormat="1" applyFont="1" applyBorder="1" applyAlignment="1">
      <alignment vertical="center"/>
    </xf>
    <xf numFmtId="3" fontId="17" fillId="0" borderId="1" xfId="16" applyNumberFormat="1" applyFont="1" applyBorder="1" applyAlignment="1">
      <alignment vertical="center" wrapText="1"/>
    </xf>
    <xf numFmtId="0" fontId="17" fillId="0" borderId="0" xfId="0" applyFont="1"/>
    <xf numFmtId="3" fontId="16" fillId="0" borderId="1" xfId="11" applyNumberFormat="1" applyFont="1" applyBorder="1" applyAlignment="1">
      <alignment vertical="center"/>
    </xf>
    <xf numFmtId="3" fontId="44" fillId="0" borderId="1" xfId="0" applyNumberFormat="1" applyFont="1" applyBorder="1" applyAlignment="1">
      <alignment vertical="center"/>
    </xf>
    <xf numFmtId="3" fontId="16" fillId="0" borderId="1" xfId="16" applyNumberFormat="1" applyFont="1" applyBorder="1" applyAlignment="1">
      <alignment vertical="center"/>
    </xf>
    <xf numFmtId="3" fontId="13" fillId="0" borderId="1" xfId="16" applyNumberFormat="1" applyFont="1" applyBorder="1" applyAlignment="1">
      <alignment vertical="center"/>
    </xf>
    <xf numFmtId="3" fontId="13" fillId="0" borderId="1" xfId="0" applyNumberFormat="1" applyFont="1" applyBorder="1" applyAlignment="1">
      <alignment vertical="center"/>
    </xf>
    <xf numFmtId="3" fontId="12" fillId="0" borderId="1" xfId="16" applyNumberFormat="1" applyFont="1" applyBorder="1" applyAlignment="1">
      <alignment vertical="center"/>
    </xf>
    <xf numFmtId="0" fontId="49" fillId="0" borderId="1" xfId="0" applyFont="1" applyBorder="1" applyAlignment="1">
      <alignment horizontal="center" vertical="center" wrapText="1"/>
    </xf>
    <xf numFmtId="3" fontId="36" fillId="0" borderId="1" xfId="0" applyNumberFormat="1" applyFont="1" applyBorder="1" applyAlignment="1">
      <alignment vertical="center" wrapText="1"/>
    </xf>
    <xf numFmtId="0" fontId="36" fillId="0" borderId="1" xfId="0" applyFont="1" applyBorder="1" applyAlignment="1">
      <alignment horizontal="center" vertical="center" wrapText="1"/>
    </xf>
    <xf numFmtId="49" fontId="36" fillId="0" borderId="1" xfId="0" applyNumberFormat="1" applyFont="1" applyBorder="1" applyAlignment="1">
      <alignment vertical="center" wrapText="1"/>
    </xf>
    <xf numFmtId="3" fontId="37" fillId="0" borderId="0" xfId="0" applyNumberFormat="1" applyFont="1"/>
    <xf numFmtId="0" fontId="37" fillId="0" borderId="0" xfId="0" applyFont="1"/>
    <xf numFmtId="49" fontId="38" fillId="0" borderId="1" xfId="0" applyNumberFormat="1" applyFont="1" applyBorder="1" applyAlignment="1">
      <alignment vertical="center" wrapText="1"/>
    </xf>
    <xf numFmtId="0" fontId="37" fillId="0" borderId="1" xfId="0" applyFont="1" applyBorder="1" applyAlignment="1">
      <alignment horizontal="center" vertical="center" wrapText="1"/>
    </xf>
    <xf numFmtId="49" fontId="37" fillId="0" borderId="1" xfId="0" applyNumberFormat="1" applyFont="1" applyBorder="1" applyAlignment="1">
      <alignment vertical="center" wrapText="1"/>
    </xf>
    <xf numFmtId="49" fontId="36" fillId="0" borderId="1" xfId="16" applyNumberFormat="1" applyFont="1" applyBorder="1" applyAlignment="1">
      <alignment vertical="center" wrapText="1"/>
    </xf>
    <xf numFmtId="0" fontId="36" fillId="0" borderId="1" xfId="0" applyFont="1" applyBorder="1"/>
    <xf numFmtId="3" fontId="50" fillId="0" borderId="0" xfId="11" applyNumberFormat="1" applyFont="1" applyAlignment="1">
      <alignment vertical="center"/>
    </xf>
    <xf numFmtId="3" fontId="48" fillId="0" borderId="0" xfId="11" applyNumberFormat="1" applyFont="1" applyAlignment="1">
      <alignment horizontal="right" vertical="center"/>
    </xf>
    <xf numFmtId="0" fontId="51" fillId="0" borderId="0" xfId="11" applyFont="1" applyAlignment="1">
      <alignment vertical="center"/>
    </xf>
    <xf numFmtId="0" fontId="52" fillId="0" borderId="0" xfId="11" applyFont="1" applyAlignment="1">
      <alignment vertical="center"/>
    </xf>
    <xf numFmtId="49" fontId="51" fillId="0" borderId="0" xfId="11" applyNumberFormat="1" applyFont="1" applyAlignment="1">
      <alignment vertical="center" wrapText="1"/>
    </xf>
    <xf numFmtId="0" fontId="51" fillId="2" borderId="0" xfId="11" applyFont="1" applyFill="1" applyAlignment="1">
      <alignment vertical="center"/>
    </xf>
    <xf numFmtId="3" fontId="43" fillId="2" borderId="1" xfId="11" applyNumberFormat="1" applyFont="1" applyFill="1" applyBorder="1" applyAlignment="1">
      <alignment horizontal="center" vertical="center" wrapText="1"/>
    </xf>
    <xf numFmtId="0" fontId="43" fillId="0" borderId="0" xfId="11" applyFont="1" applyAlignment="1">
      <alignment horizontal="center" vertical="center" wrapText="1"/>
    </xf>
    <xf numFmtId="0" fontId="43" fillId="2" borderId="0" xfId="11" applyFont="1" applyFill="1" applyAlignment="1">
      <alignment horizontal="center" vertical="center" wrapText="1"/>
    </xf>
    <xf numFmtId="3" fontId="51" fillId="2" borderId="1" xfId="11" applyNumberFormat="1" applyFont="1" applyFill="1" applyBorder="1" applyAlignment="1">
      <alignment horizontal="center" vertical="center" wrapText="1"/>
    </xf>
    <xf numFmtId="0" fontId="39" fillId="2" borderId="1" xfId="11" applyFont="1" applyFill="1" applyBorder="1" applyAlignment="1">
      <alignment vertical="center"/>
    </xf>
    <xf numFmtId="49" fontId="39" fillId="2" borderId="1" xfId="0" applyNumberFormat="1" applyFont="1" applyFill="1" applyBorder="1" applyAlignment="1">
      <alignment horizontal="center" vertical="center" wrapText="1"/>
    </xf>
    <xf numFmtId="3" fontId="39" fillId="2" borderId="1" xfId="11" applyNumberFormat="1" applyFont="1" applyFill="1" applyBorder="1" applyAlignment="1">
      <alignment horizontal="right" vertical="center" wrapText="1"/>
    </xf>
    <xf numFmtId="3" fontId="39" fillId="2" borderId="1" xfId="11" applyNumberFormat="1" applyFont="1" applyFill="1" applyBorder="1" applyAlignment="1">
      <alignment horizontal="right" vertical="center"/>
    </xf>
    <xf numFmtId="0" fontId="39" fillId="0" borderId="0" xfId="11" applyFont="1" applyAlignment="1">
      <alignment horizontal="center" vertical="center" wrapText="1"/>
    </xf>
    <xf numFmtId="0" fontId="39" fillId="2" borderId="0" xfId="11" applyFont="1" applyFill="1" applyAlignment="1">
      <alignment horizontal="center" vertical="center" wrapText="1"/>
    </xf>
    <xf numFmtId="0" fontId="43" fillId="2" borderId="1" xfId="0" applyFont="1" applyFill="1" applyBorder="1" applyAlignment="1">
      <alignment horizontal="center" vertical="center"/>
    </xf>
    <xf numFmtId="0" fontId="43" fillId="0" borderId="1" xfId="0" applyFont="1" applyBorder="1" applyAlignment="1">
      <alignment horizontal="left" vertical="center" wrapText="1"/>
    </xf>
    <xf numFmtId="3" fontId="43" fillId="0" borderId="1" xfId="11" applyNumberFormat="1" applyFont="1" applyBorder="1" applyAlignment="1">
      <alignment vertical="center"/>
    </xf>
    <xf numFmtId="3" fontId="43" fillId="2" borderId="1" xfId="11" applyNumberFormat="1" applyFont="1" applyFill="1" applyBorder="1" applyAlignment="1">
      <alignment horizontal="right" vertical="center"/>
    </xf>
    <xf numFmtId="0" fontId="43" fillId="0" borderId="0" xfId="11" applyFont="1" applyAlignment="1">
      <alignment vertical="center"/>
    </xf>
    <xf numFmtId="0" fontId="39" fillId="0" borderId="0" xfId="11" applyFont="1" applyAlignment="1">
      <alignment vertical="center"/>
    </xf>
    <xf numFmtId="3" fontId="43" fillId="2" borderId="1" xfId="11" applyNumberFormat="1" applyFont="1" applyFill="1" applyBorder="1" applyAlignment="1">
      <alignment vertical="center"/>
    </xf>
    <xf numFmtId="0" fontId="43" fillId="0" borderId="1" xfId="11" applyFont="1" applyBorder="1" applyAlignment="1">
      <alignment vertical="center"/>
    </xf>
    <xf numFmtId="0" fontId="39" fillId="0" borderId="0" xfId="11" applyFont="1" applyAlignment="1">
      <alignment vertical="center" wrapText="1"/>
    </xf>
    <xf numFmtId="0" fontId="39" fillId="2" borderId="0" xfId="11" applyFont="1" applyFill="1" applyAlignment="1">
      <alignment vertical="center" wrapText="1"/>
    </xf>
    <xf numFmtId="49" fontId="51" fillId="2" borderId="0" xfId="11" applyNumberFormat="1" applyFont="1" applyFill="1" applyAlignment="1">
      <alignment vertical="center" wrapText="1"/>
    </xf>
    <xf numFmtId="3" fontId="50" fillId="2" borderId="0" xfId="11" applyNumberFormat="1" applyFont="1" applyFill="1" applyAlignment="1">
      <alignment vertical="center"/>
    </xf>
    <xf numFmtId="0" fontId="53" fillId="0" borderId="0" xfId="0" applyFont="1" applyAlignment="1">
      <alignment vertical="center"/>
    </xf>
    <xf numFmtId="3" fontId="36" fillId="0" borderId="0" xfId="11" applyNumberFormat="1" applyFont="1" applyAlignment="1">
      <alignment vertical="center"/>
    </xf>
    <xf numFmtId="0" fontId="24" fillId="0" borderId="0" xfId="0" applyFont="1" applyAlignment="1">
      <alignment vertical="center"/>
    </xf>
    <xf numFmtId="0" fontId="58" fillId="0" borderId="0" xfId="0" applyFont="1" applyAlignment="1">
      <alignment vertical="center"/>
    </xf>
    <xf numFmtId="0" fontId="22" fillId="0" borderId="0" xfId="11" applyFont="1" applyAlignment="1">
      <alignment vertical="center"/>
    </xf>
    <xf numFmtId="0" fontId="59" fillId="0" borderId="0" xfId="0" applyFont="1" applyAlignment="1">
      <alignment vertical="center"/>
    </xf>
    <xf numFmtId="3" fontId="22" fillId="0" borderId="0" xfId="0" applyNumberFormat="1" applyFont="1" applyAlignment="1">
      <alignment horizontal="center" vertical="center"/>
    </xf>
    <xf numFmtId="0" fontId="60" fillId="0" borderId="8" xfId="0" applyFont="1" applyBorder="1" applyAlignment="1">
      <alignment vertical="center"/>
    </xf>
    <xf numFmtId="0" fontId="61" fillId="0" borderId="0" xfId="0" applyFont="1" applyAlignment="1">
      <alignment vertical="center"/>
    </xf>
    <xf numFmtId="3" fontId="24" fillId="0" borderId="0" xfId="0" applyNumberFormat="1" applyFont="1" applyAlignment="1">
      <alignment vertical="center"/>
    </xf>
    <xf numFmtId="0" fontId="41" fillId="0" borderId="0" xfId="0" applyFont="1" applyAlignment="1">
      <alignment vertic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1" fillId="0" borderId="1" xfId="0" applyFont="1" applyBorder="1" applyAlignment="1">
      <alignment vertical="center" wrapText="1"/>
    </xf>
    <xf numFmtId="3" fontId="41" fillId="0" borderId="1" xfId="0" applyNumberFormat="1" applyFont="1" applyBorder="1" applyAlignment="1">
      <alignment horizontal="right" vertical="center" wrapText="1"/>
    </xf>
    <xf numFmtId="3" fontId="44" fillId="0" borderId="1" xfId="0" applyNumberFormat="1" applyFont="1" applyBorder="1" applyAlignment="1">
      <alignment horizontal="right" vertical="center" wrapText="1"/>
    </xf>
    <xf numFmtId="0" fontId="17" fillId="0" borderId="1" xfId="0" applyFont="1" applyBorder="1" applyAlignment="1">
      <alignment horizontal="center" vertical="center" wrapText="1"/>
    </xf>
    <xf numFmtId="0" fontId="35" fillId="0" borderId="1" xfId="0" applyFont="1" applyBorder="1" applyAlignment="1">
      <alignment horizontal="center" vertical="center" wrapText="1"/>
    </xf>
    <xf numFmtId="3" fontId="35" fillId="0" borderId="1" xfId="0" applyNumberFormat="1" applyFont="1" applyBorder="1" applyAlignment="1">
      <alignment horizontal="right" vertical="center" wrapText="1"/>
    </xf>
    <xf numFmtId="0" fontId="62" fillId="0" borderId="0" xfId="0" applyFont="1" applyAlignment="1">
      <alignment vertical="center"/>
    </xf>
    <xf numFmtId="1" fontId="43" fillId="0" borderId="0" xfId="12" applyNumberFormat="1" applyFont="1" applyAlignment="1">
      <alignment horizontal="center" vertical="center" wrapText="1"/>
    </xf>
    <xf numFmtId="3" fontId="44" fillId="0" borderId="0" xfId="12" applyNumberFormat="1" applyFont="1" applyAlignment="1">
      <alignment horizontal="right" vertical="center"/>
    </xf>
    <xf numFmtId="3" fontId="45" fillId="0" borderId="0" xfId="0" applyNumberFormat="1" applyFont="1" applyAlignment="1">
      <alignment vertical="center"/>
    </xf>
    <xf numFmtId="0" fontId="46" fillId="0" borderId="0" xfId="0" applyFont="1" applyAlignment="1">
      <alignment vertical="center"/>
    </xf>
    <xf numFmtId="1" fontId="66" fillId="0" borderId="0" xfId="12" applyNumberFormat="1" applyFont="1" applyAlignment="1">
      <alignment horizontal="center" vertical="center" wrapText="1"/>
    </xf>
    <xf numFmtId="1" fontId="42" fillId="0" borderId="0" xfId="12" applyNumberFormat="1" applyFont="1" applyAlignment="1">
      <alignment horizontal="center" vertical="center"/>
    </xf>
    <xf numFmtId="1" fontId="42" fillId="0" borderId="0" xfId="12" applyNumberFormat="1" applyFont="1" applyAlignment="1">
      <alignment horizontal="center" vertical="center" wrapText="1"/>
    </xf>
    <xf numFmtId="3" fontId="42" fillId="0" borderId="0" xfId="12" applyNumberFormat="1" applyFont="1" applyAlignment="1">
      <alignment horizontal="center" vertical="center" wrapText="1"/>
    </xf>
    <xf numFmtId="1" fontId="39" fillId="0" borderId="0" xfId="12" applyNumberFormat="1" applyFont="1" applyAlignment="1">
      <alignment horizontal="center" vertical="center"/>
    </xf>
    <xf numFmtId="1" fontId="43" fillId="0" borderId="0" xfId="12" applyNumberFormat="1" applyFont="1" applyAlignment="1">
      <alignment horizontal="justify" vertical="center"/>
    </xf>
    <xf numFmtId="3" fontId="39" fillId="0" borderId="6" xfId="12" quotePrefix="1" applyNumberFormat="1" applyFont="1" applyBorder="1" applyAlignment="1">
      <alignment horizontal="center" vertical="center" wrapText="1"/>
    </xf>
    <xf numFmtId="3" fontId="39" fillId="0" borderId="6" xfId="12" quotePrefix="1" applyNumberFormat="1" applyFont="1" applyBorder="1" applyAlignment="1">
      <alignment horizontal="center" vertical="center"/>
    </xf>
    <xf numFmtId="3" fontId="41" fillId="0" borderId="1" xfId="0" applyNumberFormat="1" applyFont="1" applyBorder="1" applyAlignment="1">
      <alignment horizontal="center" vertical="center"/>
    </xf>
    <xf numFmtId="3" fontId="67" fillId="0" borderId="1" xfId="15" applyNumberFormat="1" applyFont="1" applyFill="1" applyBorder="1" applyAlignment="1">
      <alignment horizontal="center" vertical="center" wrapText="1"/>
    </xf>
    <xf numFmtId="1" fontId="67" fillId="0" borderId="1" xfId="12" applyNumberFormat="1" applyFont="1" applyBorder="1" applyAlignment="1">
      <alignment horizontal="center" vertical="center" wrapText="1"/>
    </xf>
    <xf numFmtId="3" fontId="41" fillId="0" borderId="1" xfId="0" applyNumberFormat="1" applyFont="1" applyBorder="1" applyAlignment="1">
      <alignment horizontal="right" vertical="center"/>
    </xf>
    <xf numFmtId="0" fontId="67" fillId="0" borderId="0" xfId="0" applyFont="1" applyAlignment="1">
      <alignment vertical="center"/>
    </xf>
    <xf numFmtId="3" fontId="41" fillId="0" borderId="1" xfId="0" applyNumberFormat="1" applyFont="1" applyBorder="1" applyAlignment="1">
      <alignment horizontal="center" vertical="center" wrapText="1"/>
    </xf>
    <xf numFmtId="3" fontId="41" fillId="0" borderId="1" xfId="0" applyNumberFormat="1" applyFont="1" applyBorder="1" applyAlignment="1">
      <alignment horizontal="left" vertical="center" wrapText="1"/>
    </xf>
    <xf numFmtId="0" fontId="44" fillId="0" borderId="1" xfId="0" applyFont="1" applyBorder="1" applyAlignment="1">
      <alignment vertical="center"/>
    </xf>
    <xf numFmtId="3" fontId="41" fillId="0" borderId="1" xfId="0" applyNumberFormat="1" applyFont="1" applyBorder="1" applyAlignment="1">
      <alignment vertical="center"/>
    </xf>
    <xf numFmtId="0" fontId="44" fillId="0" borderId="0" xfId="0" applyFont="1" applyAlignment="1">
      <alignment vertical="center"/>
    </xf>
    <xf numFmtId="3" fontId="41" fillId="0" borderId="1" xfId="0" applyNumberFormat="1" applyFont="1" applyBorder="1" applyAlignment="1">
      <alignment vertical="center" wrapText="1"/>
    </xf>
    <xf numFmtId="0" fontId="41" fillId="0" borderId="1" xfId="0" applyFont="1" applyBorder="1" applyAlignment="1">
      <alignment vertical="center"/>
    </xf>
    <xf numFmtId="3" fontId="44" fillId="0" borderId="1" xfId="0" applyNumberFormat="1" applyFont="1" applyBorder="1" applyAlignment="1">
      <alignment horizontal="center" vertical="center"/>
    </xf>
    <xf numFmtId="3" fontId="44" fillId="0" borderId="1" xfId="0" applyNumberFormat="1" applyFont="1" applyBorder="1" applyAlignment="1">
      <alignment horizontal="center" vertical="center" wrapText="1"/>
    </xf>
    <xf numFmtId="3" fontId="44" fillId="0" borderId="1" xfId="0" applyNumberFormat="1" applyFont="1" applyBorder="1" applyAlignment="1">
      <alignment horizontal="right" vertical="center"/>
    </xf>
    <xf numFmtId="1" fontId="44" fillId="0" borderId="1" xfId="12" applyNumberFormat="1" applyFont="1" applyBorder="1" applyAlignment="1">
      <alignment horizontal="left" vertical="center" wrapText="1"/>
    </xf>
    <xf numFmtId="0" fontId="41" fillId="0" borderId="1" xfId="0" applyFont="1" applyBorder="1" applyAlignment="1">
      <alignment horizontal="left" vertical="center" wrapText="1"/>
    </xf>
    <xf numFmtId="1" fontId="41" fillId="0" borderId="1" xfId="12" applyNumberFormat="1" applyFont="1" applyBorder="1" applyAlignment="1">
      <alignment horizontal="left" vertical="center" wrapText="1"/>
    </xf>
    <xf numFmtId="3" fontId="41" fillId="0" borderId="1" xfId="12" quotePrefix="1" applyNumberFormat="1" applyFont="1" applyBorder="1" applyAlignment="1">
      <alignment horizontal="center" vertical="center" wrapText="1"/>
    </xf>
    <xf numFmtId="3" fontId="41" fillId="0" borderId="1" xfId="12" applyNumberFormat="1" applyFont="1" applyBorder="1" applyAlignment="1">
      <alignment horizontal="center" vertical="center" wrapText="1"/>
    </xf>
    <xf numFmtId="3" fontId="41" fillId="0" borderId="1" xfId="1" applyNumberFormat="1" applyFont="1" applyFill="1" applyBorder="1" applyAlignment="1">
      <alignment vertical="center"/>
    </xf>
    <xf numFmtId="1" fontId="44" fillId="0" borderId="1" xfId="12" applyNumberFormat="1" applyFont="1" applyBorder="1" applyAlignment="1">
      <alignment horizontal="center" vertical="center" wrapText="1"/>
    </xf>
    <xf numFmtId="1" fontId="49" fillId="2" borderId="1" xfId="12" applyNumberFormat="1" applyFont="1" applyFill="1" applyBorder="1" applyAlignment="1">
      <alignment horizontal="center" vertical="center" wrapText="1"/>
    </xf>
    <xf numFmtId="3" fontId="44" fillId="0" borderId="1" xfId="19" applyNumberFormat="1" applyFont="1" applyFill="1" applyBorder="1" applyAlignment="1">
      <alignment horizontal="right" vertical="center" wrapText="1"/>
    </xf>
    <xf numFmtId="3" fontId="44" fillId="0" borderId="1" xfId="12" applyNumberFormat="1" applyFont="1" applyBorder="1" applyAlignment="1">
      <alignment horizontal="right" vertical="center" wrapText="1"/>
    </xf>
    <xf numFmtId="3" fontId="44" fillId="0" borderId="1" xfId="1" applyNumberFormat="1" applyFont="1" applyFill="1" applyBorder="1" applyAlignment="1">
      <alignment vertical="center"/>
    </xf>
    <xf numFmtId="1" fontId="41" fillId="0" borderId="1" xfId="12" applyNumberFormat="1" applyFont="1" applyBorder="1" applyAlignment="1">
      <alignment horizontal="center" vertical="center" wrapText="1"/>
    </xf>
    <xf numFmtId="1" fontId="44" fillId="0" borderId="1" xfId="12" applyNumberFormat="1" applyFont="1" applyBorder="1" applyAlignment="1">
      <alignment horizontal="justify" vertical="center"/>
    </xf>
    <xf numFmtId="0" fontId="44" fillId="0" borderId="1" xfId="0" applyFont="1" applyBorder="1" applyAlignment="1">
      <alignment vertical="center" wrapText="1"/>
    </xf>
    <xf numFmtId="1" fontId="44" fillId="0" borderId="1" xfId="12" applyNumberFormat="1" applyFont="1" applyBorder="1" applyAlignment="1">
      <alignment horizontal="justify" vertical="center" wrapText="1"/>
    </xf>
    <xf numFmtId="49" fontId="44" fillId="0" borderId="1" xfId="0" applyNumberFormat="1" applyFont="1" applyBorder="1" applyAlignment="1">
      <alignment horizontal="center" vertical="center" wrapText="1"/>
    </xf>
    <xf numFmtId="3" fontId="49" fillId="2" borderId="1" xfId="0" applyNumberFormat="1" applyFont="1" applyFill="1" applyBorder="1" applyAlignment="1">
      <alignment horizontal="center" vertical="center" wrapText="1"/>
    </xf>
    <xf numFmtId="3" fontId="44" fillId="0" borderId="1" xfId="12" quotePrefix="1" applyNumberFormat="1" applyFont="1" applyBorder="1" applyAlignment="1">
      <alignment horizontal="right" vertical="center" wrapText="1"/>
    </xf>
    <xf numFmtId="0" fontId="41" fillId="0" borderId="1" xfId="0" quotePrefix="1" applyFont="1" applyBorder="1" applyAlignment="1">
      <alignment horizontal="center" vertical="center" wrapText="1"/>
    </xf>
    <xf numFmtId="0" fontId="44" fillId="0" borderId="1" xfId="0" quotePrefix="1" applyFont="1" applyBorder="1" applyAlignment="1">
      <alignment horizontal="center" vertical="center" wrapText="1"/>
    </xf>
    <xf numFmtId="3" fontId="49" fillId="0" borderId="1"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3" fontId="44" fillId="0" borderId="1" xfId="12" quotePrefix="1" applyNumberFormat="1" applyFont="1" applyBorder="1" applyAlignment="1">
      <alignment horizontal="center" vertical="center" wrapText="1"/>
    </xf>
    <xf numFmtId="3" fontId="44" fillId="0" borderId="1" xfId="8" quotePrefix="1" applyNumberFormat="1" applyFont="1" applyFill="1" applyBorder="1" applyAlignment="1">
      <alignment horizontal="right" vertical="center" wrapText="1"/>
    </xf>
    <xf numFmtId="3" fontId="41" fillId="0" borderId="1" xfId="11" applyNumberFormat="1" applyFont="1" applyBorder="1" applyAlignment="1">
      <alignment vertical="center" wrapText="1"/>
    </xf>
    <xf numFmtId="0" fontId="44" fillId="0" borderId="1" xfId="0" applyFont="1" applyBorder="1" applyAlignment="1">
      <alignment horizontal="left" vertical="center" wrapText="1"/>
    </xf>
    <xf numFmtId="1" fontId="41" fillId="0" borderId="1" xfId="12" applyNumberFormat="1" applyFont="1" applyBorder="1" applyAlignment="1">
      <alignment vertical="center" wrapText="1"/>
    </xf>
    <xf numFmtId="1" fontId="41" fillId="0" borderId="1" xfId="0" applyNumberFormat="1" applyFont="1" applyBorder="1" applyAlignment="1">
      <alignment vertical="center" wrapText="1"/>
    </xf>
    <xf numFmtId="3" fontId="41" fillId="0" borderId="1" xfId="12" applyNumberFormat="1" applyFont="1" applyBorder="1" applyAlignment="1">
      <alignment vertical="center" wrapText="1"/>
    </xf>
    <xf numFmtId="1" fontId="39" fillId="0" borderId="0" xfId="12" applyNumberFormat="1" applyFont="1" applyAlignment="1">
      <alignment horizontal="justify" vertical="center"/>
    </xf>
    <xf numFmtId="1" fontId="39" fillId="0" borderId="0" xfId="12" applyNumberFormat="1" applyFont="1" applyAlignment="1">
      <alignment horizontal="center" vertical="center" wrapText="1"/>
    </xf>
    <xf numFmtId="3" fontId="41" fillId="0" borderId="0" xfId="12" applyNumberFormat="1" applyFont="1" applyAlignment="1">
      <alignment horizontal="right" vertical="center"/>
    </xf>
    <xf numFmtId="0" fontId="47" fillId="0" borderId="0" xfId="0" applyFont="1" applyAlignment="1">
      <alignment vertical="center"/>
    </xf>
    <xf numFmtId="1" fontId="35" fillId="0" borderId="1" xfId="12" applyNumberFormat="1" applyFont="1" applyBorder="1" applyAlignment="1">
      <alignment vertical="center" wrapText="1"/>
    </xf>
    <xf numFmtId="3" fontId="35" fillId="0" borderId="1" xfId="0" applyNumberFormat="1" applyFont="1" applyBorder="1" applyAlignment="1">
      <alignment horizontal="right" vertical="center"/>
    </xf>
    <xf numFmtId="3" fontId="35" fillId="0" borderId="1" xfId="0" applyNumberFormat="1" applyFont="1" applyBorder="1" applyAlignment="1">
      <alignment horizontal="center" vertical="center"/>
    </xf>
    <xf numFmtId="3" fontId="35" fillId="0" borderId="1" xfId="0" applyNumberFormat="1" applyFont="1" applyBorder="1" applyAlignment="1">
      <alignment horizontal="center" vertical="center" wrapText="1"/>
    </xf>
    <xf numFmtId="0" fontId="17" fillId="0" borderId="0" xfId="0" applyFont="1" applyAlignment="1">
      <alignment vertical="center"/>
    </xf>
    <xf numFmtId="1" fontId="35" fillId="0" borderId="1" xfId="12" applyNumberFormat="1" applyFont="1" applyBorder="1" applyAlignment="1">
      <alignment horizontal="left" vertical="center" wrapText="1"/>
    </xf>
    <xf numFmtId="3" fontId="4" fillId="2" borderId="1" xfId="0" applyNumberFormat="1" applyFont="1" applyFill="1" applyBorder="1" applyAlignment="1">
      <alignment horizontal="right" vertical="center"/>
    </xf>
    <xf numFmtId="3" fontId="41" fillId="2" borderId="1" xfId="0" applyNumberFormat="1" applyFont="1" applyFill="1" applyBorder="1" applyAlignment="1">
      <alignment horizontal="center" vertical="center" wrapText="1"/>
    </xf>
    <xf numFmtId="0" fontId="41" fillId="2" borderId="1" xfId="0" applyFont="1" applyFill="1" applyBorder="1" applyAlignment="1">
      <alignment vertical="center" wrapText="1"/>
    </xf>
    <xf numFmtId="1" fontId="44" fillId="2" borderId="1" xfId="12" applyNumberFormat="1"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1" xfId="0" applyFont="1" applyFill="1" applyBorder="1" applyAlignment="1">
      <alignment vertical="center"/>
    </xf>
    <xf numFmtId="3" fontId="41" fillId="2" borderId="1" xfId="0" applyNumberFormat="1" applyFont="1" applyFill="1" applyBorder="1" applyAlignment="1">
      <alignment horizontal="right" vertical="center"/>
    </xf>
    <xf numFmtId="0" fontId="44" fillId="2" borderId="0" xfId="0" applyFont="1" applyFill="1" applyAlignment="1">
      <alignment vertical="center"/>
    </xf>
    <xf numFmtId="3" fontId="17"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35" fillId="0" borderId="1" xfId="0" applyFont="1" applyBorder="1" applyAlignment="1">
      <alignment vertical="center"/>
    </xf>
    <xf numFmtId="3" fontId="17" fillId="0" borderId="1" xfId="0" applyNumberFormat="1" applyFont="1" applyBorder="1" applyAlignment="1">
      <alignment horizontal="right" vertical="center"/>
    </xf>
    <xf numFmtId="0" fontId="35" fillId="0" borderId="0" xfId="0" applyFont="1" applyAlignment="1">
      <alignment vertical="center"/>
    </xf>
    <xf numFmtId="0" fontId="17" fillId="0" borderId="1" xfId="0" applyFont="1" applyBorder="1" applyAlignment="1">
      <alignment vertical="center"/>
    </xf>
    <xf numFmtId="1" fontId="35" fillId="0" borderId="1" xfId="12" applyNumberFormat="1" applyFont="1" applyBorder="1" applyAlignment="1">
      <alignment horizontal="justify" vertical="center"/>
    </xf>
    <xf numFmtId="1" fontId="35" fillId="0" borderId="1" xfId="12" applyNumberFormat="1" applyFont="1" applyBorder="1" applyAlignment="1">
      <alignment horizontal="center" vertical="center" wrapText="1"/>
    </xf>
    <xf numFmtId="3" fontId="4" fillId="2" borderId="1" xfId="0" applyNumberFormat="1" applyFont="1" applyFill="1" applyBorder="1" applyAlignment="1">
      <alignment horizontal="right" vertical="center" wrapText="1"/>
    </xf>
    <xf numFmtId="3" fontId="4" fillId="3" borderId="1" xfId="0" applyNumberFormat="1" applyFont="1" applyFill="1" applyBorder="1" applyAlignment="1">
      <alignment horizontal="right" vertical="center" wrapText="1"/>
    </xf>
    <xf numFmtId="0" fontId="68" fillId="2" borderId="1" xfId="0" applyFont="1" applyFill="1" applyBorder="1" applyAlignment="1">
      <alignment vertical="center" wrapText="1"/>
    </xf>
    <xf numFmtId="3" fontId="20" fillId="0" borderId="1" xfId="12" applyNumberFormat="1" applyFont="1" applyBorder="1" applyAlignment="1">
      <alignment horizontal="right" vertical="center"/>
    </xf>
    <xf numFmtId="3" fontId="17" fillId="0" borderId="1" xfId="0" applyNumberFormat="1" applyFont="1" applyBorder="1" applyAlignment="1">
      <alignment horizontal="center" vertical="center"/>
    </xf>
    <xf numFmtId="0" fontId="17" fillId="0" borderId="1" xfId="0" applyFont="1" applyBorder="1" applyAlignment="1">
      <alignment vertical="center" wrapText="1"/>
    </xf>
    <xf numFmtId="3" fontId="4" fillId="2" borderId="1" xfId="20" applyNumberFormat="1" applyFill="1" applyBorder="1" applyAlignment="1">
      <alignment horizontal="justify" vertical="center" wrapText="1"/>
    </xf>
    <xf numFmtId="1" fontId="4" fillId="2" borderId="1" xfId="12" applyNumberFormat="1" applyFont="1" applyFill="1" applyBorder="1" applyAlignment="1">
      <alignment horizontal="justify" vertical="center"/>
    </xf>
    <xf numFmtId="3" fontId="4" fillId="2" borderId="1" xfId="0" applyNumberFormat="1" applyFont="1" applyFill="1" applyBorder="1" applyAlignment="1">
      <alignment horizontal="justify" vertical="center" wrapText="1"/>
    </xf>
    <xf numFmtId="0" fontId="3" fillId="2" borderId="0" xfId="11" applyFont="1" applyFill="1" applyAlignment="1">
      <alignment vertical="center"/>
    </xf>
    <xf numFmtId="49" fontId="4" fillId="2" borderId="0" xfId="11" applyNumberFormat="1" applyFont="1" applyFill="1" applyAlignment="1">
      <alignment vertical="center" wrapText="1"/>
    </xf>
    <xf numFmtId="3" fontId="4" fillId="2" borderId="0" xfId="11" applyNumberFormat="1" applyFont="1" applyFill="1" applyAlignment="1">
      <alignment vertical="center"/>
    </xf>
    <xf numFmtId="3" fontId="3" fillId="2" borderId="0" xfId="11" applyNumberFormat="1" applyFont="1" applyFill="1" applyAlignment="1">
      <alignment horizontal="right" vertical="center"/>
    </xf>
    <xf numFmtId="0" fontId="4" fillId="2" borderId="0" xfId="11" applyFont="1" applyFill="1" applyAlignment="1">
      <alignment vertical="center"/>
    </xf>
    <xf numFmtId="3" fontId="3" fillId="2" borderId="0" xfId="11" applyNumberFormat="1" applyFont="1" applyFill="1" applyAlignment="1">
      <alignment horizontal="center" vertical="center"/>
    </xf>
    <xf numFmtId="3" fontId="69" fillId="2" borderId="0" xfId="11" applyNumberFormat="1" applyFont="1" applyFill="1" applyAlignment="1">
      <alignment horizontal="center" vertical="center"/>
    </xf>
    <xf numFmtId="0" fontId="3" fillId="2" borderId="0" xfId="11" applyFont="1" applyFill="1" applyAlignment="1">
      <alignment horizontal="center" vertical="center" wrapText="1"/>
    </xf>
    <xf numFmtId="0" fontId="70" fillId="2" borderId="0" xfId="11" applyFont="1" applyFill="1" applyAlignment="1">
      <alignment horizontal="center" vertical="center"/>
    </xf>
    <xf numFmtId="3" fontId="68" fillId="2" borderId="0" xfId="11" applyNumberFormat="1" applyFont="1" applyFill="1" applyAlignment="1">
      <alignment horizontal="right" vertical="center"/>
    </xf>
    <xf numFmtId="3" fontId="70" fillId="2" borderId="0" xfId="11" applyNumberFormat="1" applyFont="1" applyFill="1" applyAlignment="1">
      <alignment horizontal="right" vertical="center"/>
    </xf>
    <xf numFmtId="3" fontId="3" fillId="2" borderId="1" xfId="11" applyNumberFormat="1" applyFont="1" applyFill="1" applyBorder="1" applyAlignment="1">
      <alignment horizontal="center" vertical="center" wrapText="1"/>
    </xf>
    <xf numFmtId="0" fontId="3" fillId="2" borderId="1" xfId="11" applyFont="1" applyFill="1" applyBorder="1" applyAlignment="1">
      <alignment horizontal="center" vertical="center"/>
    </xf>
    <xf numFmtId="0" fontId="69" fillId="2" borderId="1" xfId="11" applyFont="1" applyFill="1" applyBorder="1" applyAlignment="1">
      <alignment vertical="center"/>
    </xf>
    <xf numFmtId="49" fontId="69" fillId="2" borderId="1" xfId="0" applyNumberFormat="1" applyFont="1" applyFill="1" applyBorder="1" applyAlignment="1">
      <alignment horizontal="center" vertical="center" wrapText="1"/>
    </xf>
    <xf numFmtId="3" fontId="69" fillId="2" borderId="1" xfId="11" applyNumberFormat="1" applyFont="1" applyFill="1" applyBorder="1" applyAlignment="1">
      <alignment horizontal="right" vertical="center"/>
    </xf>
    <xf numFmtId="3" fontId="69" fillId="2" borderId="0" xfId="11" applyNumberFormat="1" applyFont="1" applyFill="1" applyAlignment="1">
      <alignment vertical="center"/>
    </xf>
    <xf numFmtId="0" fontId="69" fillId="2" borderId="0" xfId="11" applyFont="1" applyFill="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justify" wrapText="1"/>
    </xf>
    <xf numFmtId="3" fontId="4" fillId="2" borderId="1" xfId="11" applyNumberFormat="1" applyFont="1" applyFill="1" applyBorder="1" applyAlignment="1">
      <alignment horizontal="right" vertical="center"/>
    </xf>
    <xf numFmtId="3" fontId="4" fillId="2" borderId="1" xfId="11" applyNumberFormat="1" applyFont="1" applyFill="1" applyBorder="1" applyAlignment="1">
      <alignment vertical="center"/>
    </xf>
    <xf numFmtId="1" fontId="4" fillId="2" borderId="1" xfId="20" applyNumberFormat="1" applyFill="1" applyBorder="1" applyAlignment="1">
      <alignment horizontal="left" vertical="center" wrapText="1"/>
    </xf>
    <xf numFmtId="0" fontId="3" fillId="2" borderId="0" xfId="0" applyFont="1" applyFill="1" applyAlignment="1">
      <alignment horizontal="center" vertical="center"/>
    </xf>
    <xf numFmtId="1" fontId="4" fillId="2" borderId="0" xfId="12" applyNumberFormat="1" applyFont="1" applyFill="1" applyAlignment="1">
      <alignment horizontal="center" vertical="center" wrapText="1"/>
    </xf>
    <xf numFmtId="3" fontId="4" fillId="2" borderId="0" xfId="12" applyNumberFormat="1" applyFont="1" applyFill="1" applyAlignment="1">
      <alignment horizontal="right" vertical="center"/>
    </xf>
    <xf numFmtId="3" fontId="4" fillId="2" borderId="0" xfId="0" applyNumberFormat="1"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3" fontId="3" fillId="2" borderId="1" xfId="12"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xf>
    <xf numFmtId="3" fontId="3" fillId="2" borderId="1" xfId="0" applyNumberFormat="1" applyFont="1" applyFill="1" applyBorder="1" applyAlignment="1">
      <alignment horizontal="right" vertical="center"/>
    </xf>
    <xf numFmtId="3" fontId="4" fillId="2" borderId="1" xfId="0" applyNumberFormat="1" applyFont="1" applyFill="1" applyBorder="1" applyAlignment="1">
      <alignment vertical="center"/>
    </xf>
    <xf numFmtId="3" fontId="3" fillId="3" borderId="1" xfId="0" applyNumberFormat="1" applyFont="1" applyFill="1" applyBorder="1" applyAlignment="1">
      <alignment horizontal="center" vertical="center" wrapText="1"/>
    </xf>
    <xf numFmtId="3" fontId="3" fillId="3" borderId="1"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xf>
    <xf numFmtId="3" fontId="3" fillId="3" borderId="1" xfId="0" applyNumberFormat="1" applyFont="1" applyFill="1" applyBorder="1" applyAlignment="1">
      <alignment horizontal="right" vertical="center"/>
    </xf>
    <xf numFmtId="3" fontId="4" fillId="3" borderId="0" xfId="0" applyNumberFormat="1" applyFont="1" applyFill="1" applyAlignment="1">
      <alignment vertical="center"/>
    </xf>
    <xf numFmtId="0" fontId="3" fillId="3" borderId="0" xfId="0" applyFont="1" applyFill="1" applyAlignment="1">
      <alignment vertical="center"/>
    </xf>
    <xf numFmtId="3" fontId="68" fillId="2" borderId="1" xfId="0" applyNumberFormat="1" applyFont="1" applyFill="1" applyBorder="1" applyAlignment="1">
      <alignment horizontal="center" vertical="center" wrapText="1"/>
    </xf>
    <xf numFmtId="3" fontId="68" fillId="2" borderId="1" xfId="0" applyNumberFormat="1" applyFont="1" applyFill="1" applyBorder="1" applyAlignment="1">
      <alignment vertical="center" wrapText="1"/>
    </xf>
    <xf numFmtId="0" fontId="68" fillId="2" borderId="1" xfId="0" applyFont="1" applyFill="1" applyBorder="1" applyAlignment="1">
      <alignment horizontal="center" vertical="center" wrapText="1"/>
    </xf>
    <xf numFmtId="0" fontId="68" fillId="2" borderId="1" xfId="0" applyFont="1" applyFill="1" applyBorder="1" applyAlignment="1">
      <alignment vertical="center"/>
    </xf>
    <xf numFmtId="3" fontId="68" fillId="2" borderId="1" xfId="0" applyNumberFormat="1" applyFont="1" applyFill="1" applyBorder="1" applyAlignment="1">
      <alignment horizontal="right" vertical="center" wrapText="1"/>
    </xf>
    <xf numFmtId="3" fontId="4" fillId="2" borderId="1" xfId="0" applyNumberFormat="1" applyFont="1" applyFill="1" applyBorder="1" applyAlignment="1">
      <alignment horizontal="center" vertical="center" wrapText="1"/>
    </xf>
    <xf numFmtId="0" fontId="4" fillId="2" borderId="1" xfId="0" applyFont="1" applyFill="1" applyBorder="1" applyAlignment="1">
      <alignment horizontal="justify" vertical="center"/>
    </xf>
    <xf numFmtId="3" fontId="4" fillId="2" borderId="1" xfId="12" quotePrefix="1" applyNumberFormat="1" applyFont="1" applyFill="1" applyBorder="1" applyAlignment="1">
      <alignment horizontal="center" vertical="center" wrapText="1"/>
    </xf>
    <xf numFmtId="167" fontId="4" fillId="2" borderId="1" xfId="21" applyNumberFormat="1" applyFont="1" applyFill="1" applyBorder="1" applyAlignment="1">
      <alignment horizontal="right" vertical="center" wrapText="1"/>
    </xf>
    <xf numFmtId="3" fontId="4" fillId="2" borderId="1" xfId="22" applyNumberFormat="1" applyFont="1" applyFill="1" applyBorder="1" applyAlignment="1">
      <alignment horizontal="right" vertical="center" wrapText="1"/>
    </xf>
    <xf numFmtId="3" fontId="4" fillId="2" borderId="1" xfId="12" applyNumberFormat="1" applyFont="1" applyFill="1" applyBorder="1" applyAlignment="1">
      <alignment horizontal="right" vertical="center" wrapText="1"/>
    </xf>
    <xf numFmtId="1" fontId="4" fillId="2" borderId="1" xfId="12" applyNumberFormat="1"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xf>
    <xf numFmtId="0" fontId="68" fillId="2" borderId="1" xfId="0" applyFont="1" applyFill="1" applyBorder="1" applyAlignment="1">
      <alignment horizontal="center" vertical="center"/>
    </xf>
    <xf numFmtId="3" fontId="68" fillId="2" borderId="1" xfId="0" applyNumberFormat="1" applyFont="1" applyFill="1" applyBorder="1" applyAlignment="1">
      <alignment horizontal="right" vertical="center"/>
    </xf>
    <xf numFmtId="0" fontId="68" fillId="2" borderId="0" xfId="0" applyFont="1" applyFill="1" applyAlignment="1">
      <alignment vertical="center"/>
    </xf>
    <xf numFmtId="3" fontId="4" fillId="2" borderId="1" xfId="0" applyNumberFormat="1" applyFont="1" applyFill="1" applyBorder="1" applyAlignment="1">
      <alignment horizontal="center" vertical="center"/>
    </xf>
    <xf numFmtId="0" fontId="4" fillId="2" borderId="1" xfId="0" applyFont="1" applyFill="1" applyBorder="1" applyAlignment="1">
      <alignment horizontal="right" vertical="center"/>
    </xf>
    <xf numFmtId="3" fontId="3" fillId="3" borderId="1" xfId="0" applyNumberFormat="1" applyFont="1" applyFill="1" applyBorder="1" applyAlignment="1">
      <alignment horizontal="center" vertical="center"/>
    </xf>
    <xf numFmtId="0" fontId="3" fillId="3" borderId="1" xfId="0" applyFont="1" applyFill="1" applyBorder="1" applyAlignment="1">
      <alignment horizontal="justify" vertical="center"/>
    </xf>
    <xf numFmtId="3" fontId="3" fillId="3" borderId="1" xfId="12" quotePrefix="1" applyNumberFormat="1" applyFont="1" applyFill="1" applyBorder="1" applyAlignment="1">
      <alignment horizontal="center" vertical="center" wrapText="1"/>
    </xf>
    <xf numFmtId="167" fontId="3" fillId="3" borderId="1" xfId="21" applyNumberFormat="1" applyFont="1" applyFill="1" applyBorder="1" applyAlignment="1">
      <alignment horizontal="right" vertical="center" wrapText="1"/>
    </xf>
    <xf numFmtId="3" fontId="3" fillId="3" borderId="0" xfId="0" applyNumberFormat="1" applyFont="1" applyFill="1" applyAlignment="1">
      <alignment vertical="center"/>
    </xf>
    <xf numFmtId="3" fontId="68" fillId="2" borderId="1" xfId="0" applyNumberFormat="1" applyFont="1" applyFill="1" applyBorder="1" applyAlignment="1">
      <alignment horizontal="center" vertical="center"/>
    </xf>
    <xf numFmtId="1" fontId="68" fillId="2" borderId="1" xfId="12" applyNumberFormat="1" applyFont="1" applyFill="1" applyBorder="1" applyAlignment="1">
      <alignment horizontal="center" vertical="center" wrapText="1"/>
    </xf>
    <xf numFmtId="3" fontId="68" fillId="2" borderId="1" xfId="12" quotePrefix="1" applyNumberFormat="1" applyFont="1" applyFill="1" applyBorder="1" applyAlignment="1">
      <alignment horizontal="center" vertical="center" wrapText="1"/>
    </xf>
    <xf numFmtId="167" fontId="68" fillId="2" borderId="1" xfId="21" applyNumberFormat="1" applyFont="1" applyFill="1" applyBorder="1" applyAlignment="1">
      <alignment horizontal="right" vertical="center" wrapText="1"/>
    </xf>
    <xf numFmtId="3" fontId="68" fillId="2" borderId="0" xfId="0" applyNumberFormat="1" applyFont="1" applyFill="1" applyAlignment="1">
      <alignment vertical="center"/>
    </xf>
    <xf numFmtId="0" fontId="4" fillId="2" borderId="1" xfId="0" applyFont="1" applyFill="1" applyBorder="1" applyAlignment="1">
      <alignment horizontal="justify" vertical="center" wrapText="1"/>
    </xf>
    <xf numFmtId="0" fontId="68" fillId="2" borderId="1" xfId="0" applyFont="1" applyFill="1" applyBorder="1" applyAlignment="1">
      <alignment horizontal="justify" vertical="center"/>
    </xf>
    <xf numFmtId="0" fontId="4" fillId="2" borderId="1" xfId="0" applyFont="1" applyFill="1" applyBorder="1" applyAlignment="1">
      <alignment vertical="center" wrapText="1"/>
    </xf>
    <xf numFmtId="0" fontId="4" fillId="2" borderId="0" xfId="0" applyFont="1" applyFill="1" applyAlignment="1">
      <alignment vertical="center" wrapText="1"/>
    </xf>
    <xf numFmtId="3" fontId="70" fillId="2" borderId="1" xfId="0" applyNumberFormat="1" applyFont="1" applyFill="1" applyBorder="1" applyAlignment="1">
      <alignment horizontal="center" vertical="center"/>
    </xf>
    <xf numFmtId="0" fontId="70" fillId="2" borderId="1" xfId="0" applyFont="1" applyFill="1" applyBorder="1" applyAlignment="1">
      <alignment horizontal="justify" vertical="center"/>
    </xf>
    <xf numFmtId="0" fontId="70" fillId="2" borderId="1" xfId="0" applyFont="1" applyFill="1" applyBorder="1" applyAlignment="1">
      <alignment horizontal="center" vertical="center" wrapText="1"/>
    </xf>
    <xf numFmtId="0" fontId="70" fillId="2" borderId="1" xfId="0" applyFont="1" applyFill="1" applyBorder="1" applyAlignment="1">
      <alignment vertical="center"/>
    </xf>
    <xf numFmtId="3" fontId="70" fillId="2" borderId="1" xfId="12" quotePrefix="1" applyNumberFormat="1" applyFont="1" applyFill="1" applyBorder="1" applyAlignment="1">
      <alignment horizontal="center" vertical="center" wrapText="1"/>
    </xf>
    <xf numFmtId="3" fontId="70" fillId="2" borderId="1" xfId="0" applyNumberFormat="1" applyFont="1" applyFill="1" applyBorder="1" applyAlignment="1">
      <alignment horizontal="right" vertical="center" wrapText="1"/>
    </xf>
    <xf numFmtId="1" fontId="70" fillId="2" borderId="1" xfId="20" applyNumberFormat="1" applyFont="1" applyFill="1" applyBorder="1" applyAlignment="1">
      <alignment horizontal="center" vertical="center" wrapText="1"/>
    </xf>
    <xf numFmtId="3" fontId="70" fillId="2" borderId="0" xfId="0" applyNumberFormat="1" applyFont="1" applyFill="1" applyAlignment="1">
      <alignment vertical="center"/>
    </xf>
    <xf numFmtId="0" fontId="70" fillId="2" borderId="0" xfId="0" applyFont="1" applyFill="1" applyAlignment="1">
      <alignment vertical="center"/>
    </xf>
    <xf numFmtId="3" fontId="70" fillId="2" borderId="1" xfId="20" applyNumberFormat="1" applyFont="1" applyFill="1" applyBorder="1" applyAlignment="1">
      <alignment horizontal="justify" vertical="center" wrapText="1"/>
    </xf>
    <xf numFmtId="0" fontId="70" fillId="2" borderId="0" xfId="0" applyFont="1" applyFill="1" applyAlignment="1">
      <alignment vertical="center" wrapText="1"/>
    </xf>
    <xf numFmtId="3" fontId="68" fillId="2" borderId="1" xfId="20" applyNumberFormat="1" applyFont="1" applyFill="1" applyBorder="1" applyAlignment="1">
      <alignment horizontal="justify" vertical="center" wrapText="1"/>
    </xf>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 fontId="3" fillId="2" borderId="1" xfId="20" applyNumberFormat="1" applyFont="1" applyFill="1" applyBorder="1" applyAlignment="1">
      <alignment horizontal="center" vertical="center" wrapText="1"/>
    </xf>
    <xf numFmtId="3" fontId="3" fillId="2" borderId="0" xfId="0" applyNumberFormat="1" applyFont="1" applyFill="1" applyAlignment="1">
      <alignment vertical="center"/>
    </xf>
    <xf numFmtId="0" fontId="3" fillId="2" borderId="0" xfId="0" applyFont="1" applyFill="1" applyAlignment="1">
      <alignment vertical="center" wrapText="1"/>
    </xf>
    <xf numFmtId="0" fontId="4" fillId="2" borderId="1" xfId="20" applyFill="1" applyBorder="1" applyAlignment="1">
      <alignment horizontal="justify" vertical="center" wrapText="1"/>
    </xf>
    <xf numFmtId="1" fontId="4" fillId="2" borderId="1" xfId="20" applyNumberFormat="1" applyFill="1" applyBorder="1" applyAlignment="1">
      <alignment horizontal="center" vertical="center" wrapText="1"/>
    </xf>
    <xf numFmtId="0" fontId="68" fillId="2" borderId="1" xfId="20" applyFont="1" applyFill="1" applyBorder="1" applyAlignment="1">
      <alignment horizontal="justify" vertical="center" wrapText="1"/>
    </xf>
    <xf numFmtId="1" fontId="68" fillId="2" borderId="1" xfId="20" applyNumberFormat="1" applyFont="1" applyFill="1" applyBorder="1" applyAlignment="1">
      <alignment horizontal="center" vertical="center" wrapText="1"/>
    </xf>
    <xf numFmtId="1" fontId="68" fillId="2" borderId="1" xfId="12" applyNumberFormat="1" applyFont="1" applyFill="1" applyBorder="1" applyAlignment="1">
      <alignment horizontal="left" vertical="center" wrapText="1"/>
    </xf>
    <xf numFmtId="1" fontId="4" fillId="2" borderId="1" xfId="12" applyNumberFormat="1" applyFont="1" applyFill="1" applyBorder="1" applyAlignment="1">
      <alignment horizontal="left" vertical="center" wrapText="1"/>
    </xf>
    <xf numFmtId="1" fontId="68" fillId="2" borderId="1" xfId="2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vertical="center"/>
    </xf>
    <xf numFmtId="0" fontId="4" fillId="3" borderId="0" xfId="0" applyFont="1" applyFill="1" applyAlignment="1">
      <alignment vertical="center"/>
    </xf>
    <xf numFmtId="0" fontId="68" fillId="2" borderId="1" xfId="0" applyFont="1" applyFill="1" applyBorder="1" applyAlignment="1">
      <alignment horizontal="left" vertical="center" wrapText="1"/>
    </xf>
    <xf numFmtId="0" fontId="71" fillId="2" borderId="0" xfId="0" applyFont="1" applyFill="1" applyAlignment="1">
      <alignment vertical="center"/>
    </xf>
    <xf numFmtId="3" fontId="4" fillId="2" borderId="1" xfId="0" applyNumberFormat="1" applyFont="1" applyFill="1" applyBorder="1" applyAlignment="1">
      <alignment vertical="center" wrapText="1"/>
    </xf>
    <xf numFmtId="0" fontId="72" fillId="2" borderId="0" xfId="0" applyFont="1" applyFill="1" applyAlignment="1">
      <alignment vertical="center"/>
    </xf>
    <xf numFmtId="3" fontId="3" fillId="3" borderId="1" xfId="0" applyNumberFormat="1" applyFont="1" applyFill="1" applyBorder="1" applyAlignment="1">
      <alignment vertical="center"/>
    </xf>
    <xf numFmtId="2" fontId="4" fillId="2" borderId="1" xfId="0" applyNumberFormat="1" applyFont="1" applyFill="1" applyBorder="1" applyAlignment="1">
      <alignment horizontal="center" vertical="center" wrapText="1"/>
    </xf>
    <xf numFmtId="2" fontId="68" fillId="2" borderId="1" xfId="0" applyNumberFormat="1" applyFont="1" applyFill="1" applyBorder="1" applyAlignment="1">
      <alignment horizontal="center" vertical="center" wrapText="1"/>
    </xf>
    <xf numFmtId="3" fontId="68" fillId="2" borderId="1" xfId="0" applyNumberFormat="1" applyFont="1" applyFill="1" applyBorder="1" applyAlignment="1">
      <alignment vertical="center"/>
    </xf>
    <xf numFmtId="3" fontId="4" fillId="2" borderId="1" xfId="12" applyNumberFormat="1" applyFont="1" applyFill="1" applyBorder="1" applyAlignment="1">
      <alignment horizontal="right" vertical="center"/>
    </xf>
    <xf numFmtId="0" fontId="4" fillId="3" borderId="1" xfId="0" applyFont="1" applyFill="1" applyBorder="1" applyAlignment="1">
      <alignment vertical="center" wrapText="1"/>
    </xf>
    <xf numFmtId="3" fontId="3" fillId="3" borderId="1" xfId="0" applyNumberFormat="1" applyFont="1" applyFill="1" applyBorder="1" applyAlignment="1">
      <alignment horizontal="right" vertical="center" wrapText="1"/>
    </xf>
    <xf numFmtId="0" fontId="4" fillId="3" borderId="0" xfId="0" applyFont="1" applyFill="1" applyAlignment="1">
      <alignment vertical="center" wrapText="1"/>
    </xf>
    <xf numFmtId="0" fontId="3" fillId="2"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3" fontId="4" fillId="2" borderId="1" xfId="12" applyNumberFormat="1" applyFont="1" applyFill="1" applyBorder="1" applyAlignment="1">
      <alignment horizontal="justify" vertical="center" wrapText="1"/>
    </xf>
    <xf numFmtId="1" fontId="4" fillId="2" borderId="1" xfId="12" applyNumberFormat="1" applyFont="1" applyFill="1" applyBorder="1" applyAlignment="1">
      <alignment horizontal="justify" vertical="center" wrapText="1"/>
    </xf>
    <xf numFmtId="3" fontId="4" fillId="2" borderId="1" xfId="12" quotePrefix="1" applyNumberFormat="1" applyFont="1" applyFill="1" applyBorder="1" applyAlignment="1">
      <alignment horizontal="right" vertical="center" wrapText="1"/>
    </xf>
    <xf numFmtId="0" fontId="4" fillId="2" borderId="1" xfId="9" applyFont="1" applyFill="1" applyBorder="1" applyAlignment="1">
      <alignment horizontal="justify" vertical="center"/>
    </xf>
    <xf numFmtId="0" fontId="4" fillId="2" borderId="1" xfId="9" applyFont="1" applyFill="1" applyBorder="1" applyAlignment="1">
      <alignment horizontal="center" vertical="center" wrapText="1"/>
    </xf>
    <xf numFmtId="0" fontId="68" fillId="2" borderId="0" xfId="0" applyFont="1" applyFill="1" applyAlignment="1">
      <alignment vertical="center" wrapText="1"/>
    </xf>
    <xf numFmtId="3" fontId="68" fillId="2" borderId="1" xfId="0" applyNumberFormat="1" applyFont="1" applyFill="1" applyBorder="1" applyAlignment="1">
      <alignment horizontal="justify" vertical="center" wrapText="1"/>
    </xf>
    <xf numFmtId="1" fontId="70" fillId="2" borderId="1" xfId="12" applyNumberFormat="1" applyFont="1" applyFill="1" applyBorder="1" applyAlignment="1">
      <alignment horizontal="left" vertical="center" wrapText="1"/>
    </xf>
    <xf numFmtId="1" fontId="68" fillId="2" borderId="1" xfId="0" applyNumberFormat="1" applyFont="1" applyFill="1" applyBorder="1" applyAlignment="1">
      <alignment vertical="center" wrapText="1"/>
    </xf>
    <xf numFmtId="0" fontId="70" fillId="2" borderId="1" xfId="20" applyFont="1" applyFill="1" applyBorder="1" applyAlignment="1">
      <alignment horizontal="justify" vertical="center" wrapText="1"/>
    </xf>
    <xf numFmtId="0" fontId="70" fillId="2" borderId="1" xfId="20" applyFont="1" applyFill="1" applyBorder="1" applyAlignment="1">
      <alignment horizontal="left" vertical="center" wrapText="1"/>
    </xf>
    <xf numFmtId="0" fontId="70" fillId="2" borderId="1" xfId="9" applyFont="1" applyFill="1" applyBorder="1" applyAlignment="1">
      <alignment vertical="center" wrapText="1"/>
    </xf>
    <xf numFmtId="3" fontId="3" fillId="3" borderId="1" xfId="11" applyNumberFormat="1" applyFont="1" applyFill="1" applyBorder="1" applyAlignment="1">
      <alignment vertical="center" wrapText="1"/>
    </xf>
    <xf numFmtId="0" fontId="4"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3" fillId="2" borderId="0" xfId="0" applyFont="1" applyFill="1" applyAlignment="1">
      <alignment horizontal="center" vertical="center" wrapText="1"/>
    </xf>
    <xf numFmtId="0" fontId="68" fillId="2" borderId="0" xfId="0" applyFont="1" applyFill="1" applyAlignment="1">
      <alignment horizontal="center" vertical="center" wrapText="1"/>
    </xf>
    <xf numFmtId="3" fontId="68" fillId="2" borderId="1" xfId="0" applyNumberFormat="1" applyFont="1" applyFill="1" applyBorder="1" applyAlignment="1">
      <alignment horizontal="left" vertical="center" wrapText="1"/>
    </xf>
    <xf numFmtId="3" fontId="68" fillId="2" borderId="1" xfId="12" quotePrefix="1" applyNumberFormat="1" applyFont="1" applyFill="1" applyBorder="1" applyAlignment="1">
      <alignment horizontal="left" vertical="center" wrapText="1"/>
    </xf>
    <xf numFmtId="3" fontId="68" fillId="2" borderId="0" xfId="0" applyNumberFormat="1" applyFont="1" applyFill="1" applyAlignment="1">
      <alignment horizontal="left" vertical="center"/>
    </xf>
    <xf numFmtId="0" fontId="68" fillId="2" borderId="0" xfId="0" applyFont="1" applyFill="1" applyAlignment="1">
      <alignment horizontal="left" vertical="center" wrapText="1"/>
    </xf>
    <xf numFmtId="1" fontId="3" fillId="3" borderId="1" xfId="12" applyNumberFormat="1" applyFont="1" applyFill="1" applyBorder="1" applyAlignment="1">
      <alignment vertical="center" wrapText="1"/>
    </xf>
    <xf numFmtId="0" fontId="3" fillId="3" borderId="0" xfId="0" applyFont="1" applyFill="1" applyAlignment="1">
      <alignment vertical="center" wrapText="1"/>
    </xf>
    <xf numFmtId="1" fontId="4" fillId="2" borderId="1" xfId="0" applyNumberFormat="1" applyFont="1" applyFill="1" applyBorder="1" applyAlignment="1">
      <alignment vertical="center" wrapText="1"/>
    </xf>
    <xf numFmtId="1" fontId="3" fillId="3" borderId="1" xfId="12" applyNumberFormat="1" applyFont="1" applyFill="1" applyBorder="1" applyAlignment="1">
      <alignment horizontal="justify" vertical="center"/>
    </xf>
    <xf numFmtId="1" fontId="3" fillId="3" borderId="1" xfId="0" applyNumberFormat="1" applyFont="1" applyFill="1" applyBorder="1" applyAlignment="1">
      <alignment vertical="center" wrapText="1"/>
    </xf>
    <xf numFmtId="1" fontId="3" fillId="2" borderId="1" xfId="2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3" fontId="3" fillId="2" borderId="1" xfId="0" applyNumberFormat="1" applyFont="1" applyFill="1" applyBorder="1" applyAlignment="1">
      <alignment vertical="center"/>
    </xf>
    <xf numFmtId="0" fontId="3" fillId="2" borderId="0" xfId="0" applyFont="1" applyFill="1" applyAlignment="1">
      <alignment vertical="center"/>
    </xf>
    <xf numFmtId="1" fontId="72" fillId="2" borderId="9" xfId="12" applyNumberFormat="1" applyFont="1" applyFill="1" applyBorder="1" applyAlignment="1">
      <alignment horizontal="justify" vertical="center" wrapText="1"/>
    </xf>
    <xf numFmtId="1" fontId="72" fillId="2" borderId="9" xfId="12" applyNumberFormat="1" applyFont="1" applyFill="1" applyBorder="1" applyAlignment="1">
      <alignment horizontal="center" vertical="center" wrapText="1"/>
    </xf>
    <xf numFmtId="1" fontId="72" fillId="2" borderId="1" xfId="12" applyNumberFormat="1" applyFont="1" applyFill="1" applyBorder="1" applyAlignment="1">
      <alignment horizontal="justify" vertical="center" wrapText="1"/>
    </xf>
    <xf numFmtId="1" fontId="72" fillId="2" borderId="1" xfId="12" applyNumberFormat="1" applyFont="1" applyFill="1" applyBorder="1" applyAlignment="1">
      <alignment horizontal="center" vertical="center" wrapText="1"/>
    </xf>
    <xf numFmtId="3" fontId="72" fillId="2" borderId="1" xfId="12" applyNumberFormat="1" applyFont="1" applyFill="1" applyBorder="1" applyAlignment="1">
      <alignment horizontal="center" vertical="center" wrapText="1"/>
    </xf>
    <xf numFmtId="0" fontId="72" fillId="2" borderId="1" xfId="0" applyFont="1" applyFill="1" applyBorder="1" applyAlignment="1">
      <alignment horizontal="justify" vertical="center" wrapText="1"/>
    </xf>
    <xf numFmtId="0" fontId="72" fillId="2" borderId="1" xfId="0" applyFont="1" applyFill="1" applyBorder="1" applyAlignment="1">
      <alignment horizontal="center" vertical="center" wrapText="1"/>
    </xf>
    <xf numFmtId="0" fontId="22" fillId="0" borderId="0" xfId="0" applyFont="1" applyAlignment="1">
      <alignment horizontal="center" vertical="center"/>
    </xf>
    <xf numFmtId="0" fontId="7" fillId="0" borderId="0" xfId="0" applyFont="1"/>
    <xf numFmtId="0" fontId="73" fillId="0" borderId="0" xfId="0" applyFont="1"/>
    <xf numFmtId="0" fontId="73" fillId="0" borderId="0" xfId="0" applyFont="1" applyAlignment="1">
      <alignment horizontal="center"/>
    </xf>
    <xf numFmtId="0" fontId="16" fillId="0" borderId="0" xfId="0" applyFont="1"/>
    <xf numFmtId="0" fontId="12" fillId="0" borderId="0" xfId="0" applyFont="1"/>
    <xf numFmtId="0" fontId="17" fillId="0" borderId="1" xfId="11" applyFont="1" applyBorder="1" applyAlignment="1">
      <alignment horizontal="center" vertical="center"/>
    </xf>
    <xf numFmtId="49" fontId="17" fillId="0" borderId="1" xfId="11" applyNumberFormat="1" applyFont="1" applyBorder="1" applyAlignment="1">
      <alignment horizontal="left" vertical="center" wrapText="1"/>
    </xf>
    <xf numFmtId="165" fontId="2" fillId="0" borderId="1" xfId="13" applyNumberFormat="1" applyFont="1" applyFill="1" applyBorder="1" applyAlignment="1">
      <alignment horizontal="right" vertical="center" wrapText="1"/>
    </xf>
    <xf numFmtId="0" fontId="74" fillId="0" borderId="0" xfId="0" applyFont="1"/>
    <xf numFmtId="165" fontId="74" fillId="0" borderId="0" xfId="0" applyNumberFormat="1" applyFont="1"/>
    <xf numFmtId="0" fontId="35" fillId="0" borderId="1" xfId="11" applyFont="1" applyBorder="1" applyAlignment="1">
      <alignment horizontal="center" vertical="center"/>
    </xf>
    <xf numFmtId="49" fontId="35" fillId="0" borderId="1" xfId="11" applyNumberFormat="1" applyFont="1" applyBorder="1" applyAlignment="1">
      <alignment vertical="center" wrapText="1"/>
    </xf>
    <xf numFmtId="165" fontId="20" fillId="0" borderId="1" xfId="13" applyNumberFormat="1" applyFont="1" applyFill="1" applyBorder="1" applyAlignment="1">
      <alignment horizontal="right" vertical="center" wrapText="1"/>
    </xf>
    <xf numFmtId="0" fontId="75" fillId="0" borderId="0" xfId="0" applyFont="1"/>
    <xf numFmtId="0" fontId="22" fillId="0" borderId="1" xfId="11" applyFont="1" applyBorder="1" applyAlignment="1">
      <alignment horizontal="center" vertical="center"/>
    </xf>
    <xf numFmtId="49" fontId="22" fillId="0" borderId="1" xfId="0" applyNumberFormat="1" applyFont="1" applyBorder="1" applyAlignment="1">
      <alignment vertical="center" wrapText="1"/>
    </xf>
    <xf numFmtId="0" fontId="76" fillId="0" borderId="0" xfId="0" applyFont="1"/>
    <xf numFmtId="0" fontId="35" fillId="0" borderId="1" xfId="11" quotePrefix="1" applyFont="1" applyBorder="1" applyAlignment="1">
      <alignment horizontal="center" vertical="center"/>
    </xf>
    <xf numFmtId="49" fontId="22" fillId="0" borderId="1" xfId="11" applyNumberFormat="1" applyFont="1" applyBorder="1" applyAlignment="1">
      <alignment vertical="center" wrapText="1"/>
    </xf>
    <xf numFmtId="0" fontId="22" fillId="0" borderId="1" xfId="11" quotePrefix="1" applyFont="1" applyBorder="1" applyAlignment="1">
      <alignment horizontal="center" vertical="center"/>
    </xf>
    <xf numFmtId="0" fontId="35" fillId="0" borderId="1" xfId="11" applyFont="1" applyBorder="1" applyAlignment="1">
      <alignment horizontal="justify" vertical="center" wrapText="1"/>
    </xf>
    <xf numFmtId="49" fontId="17" fillId="0" borderId="1" xfId="11" applyNumberFormat="1" applyFont="1" applyBorder="1" applyAlignment="1">
      <alignment vertical="center" wrapText="1"/>
    </xf>
    <xf numFmtId="0" fontId="77" fillId="0" borderId="0" xfId="0" applyFont="1"/>
    <xf numFmtId="0" fontId="77" fillId="0" borderId="0" xfId="0" applyFont="1" applyAlignment="1">
      <alignment horizontal="center"/>
    </xf>
    <xf numFmtId="0" fontId="12" fillId="0" borderId="1" xfId="16" applyFont="1" applyBorder="1" applyAlignment="1">
      <alignment horizontal="center" vertical="center"/>
    </xf>
    <xf numFmtId="49" fontId="12" fillId="0" borderId="1" xfId="16" applyNumberFormat="1" applyFont="1" applyBorder="1" applyAlignment="1">
      <alignment horizontal="left" vertical="center" wrapText="1"/>
    </xf>
    <xf numFmtId="49" fontId="12" fillId="0" borderId="1" xfId="16" applyNumberFormat="1" applyFont="1" applyBorder="1" applyAlignment="1">
      <alignment vertical="center" wrapText="1"/>
    </xf>
    <xf numFmtId="0" fontId="16" fillId="0" borderId="1" xfId="16" applyFont="1" applyBorder="1" applyAlignment="1">
      <alignment horizontal="center" vertical="center"/>
    </xf>
    <xf numFmtId="49" fontId="16" fillId="0" borderId="1" xfId="16" applyNumberFormat="1" applyFont="1" applyBorder="1" applyAlignment="1">
      <alignment vertical="center" wrapText="1"/>
    </xf>
    <xf numFmtId="0" fontId="13" fillId="0" borderId="1" xfId="16" quotePrefix="1" applyFont="1" applyBorder="1" applyAlignment="1">
      <alignment horizontal="center" vertical="center"/>
    </xf>
    <xf numFmtId="49" fontId="13" fillId="0" borderId="1" xfId="16" applyNumberFormat="1" applyFont="1" applyBorder="1" applyAlignment="1">
      <alignment vertical="center" wrapText="1"/>
    </xf>
    <xf numFmtId="0" fontId="78" fillId="0" borderId="0" xfId="0" applyFont="1"/>
    <xf numFmtId="49" fontId="16" fillId="0" borderId="1" xfId="16" applyNumberFormat="1" applyFont="1" applyBorder="1" applyAlignment="1">
      <alignment horizontal="justify" vertical="center" wrapText="1"/>
    </xf>
    <xf numFmtId="0" fontId="13" fillId="0" borderId="1" xfId="16" applyFont="1" applyBorder="1" applyAlignment="1">
      <alignment horizontal="center" vertical="center"/>
    </xf>
    <xf numFmtId="0" fontId="61" fillId="0" borderId="0" xfId="0" applyFont="1"/>
    <xf numFmtId="49" fontId="16" fillId="0" borderId="1" xfId="0" applyNumberFormat="1"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xf numFmtId="0" fontId="16" fillId="0" borderId="0" xfId="0" applyFont="1" applyAlignment="1">
      <alignment horizontal="center" vertical="center"/>
    </xf>
    <xf numFmtId="49" fontId="16" fillId="0" borderId="0" xfId="0" applyNumberFormat="1" applyFont="1" applyAlignment="1">
      <alignment vertical="center" wrapText="1"/>
    </xf>
    <xf numFmtId="3" fontId="79" fillId="0" borderId="0" xfId="0" applyNumberFormat="1" applyFont="1" applyAlignment="1">
      <alignment horizontal="center" vertical="center"/>
    </xf>
    <xf numFmtId="0" fontId="35" fillId="0" borderId="0" xfId="0" applyFont="1" applyAlignment="1">
      <alignment horizontal="center" vertical="center"/>
    </xf>
    <xf numFmtId="0" fontId="16" fillId="0" borderId="8" xfId="0" applyFont="1" applyBorder="1" applyAlignment="1">
      <alignment horizontal="center" vertical="center"/>
    </xf>
    <xf numFmtId="49" fontId="16" fillId="0" borderId="8" xfId="0" applyNumberFormat="1" applyFont="1" applyBorder="1" applyAlignment="1">
      <alignment vertical="center" wrapText="1"/>
    </xf>
    <xf numFmtId="3" fontId="36" fillId="0" borderId="6" xfId="0" applyNumberFormat="1" applyFont="1" applyBorder="1" applyAlignment="1">
      <alignment horizontal="center" vertical="center" wrapText="1"/>
    </xf>
    <xf numFmtId="3" fontId="36" fillId="0" borderId="1" xfId="0" applyNumberFormat="1" applyFont="1" applyBorder="1" applyAlignment="1">
      <alignment horizontal="center" vertical="center"/>
    </xf>
    <xf numFmtId="49" fontId="36" fillId="0" borderId="1" xfId="0" applyNumberFormat="1" applyFont="1" applyBorder="1" applyAlignment="1">
      <alignment horizontal="center" vertical="center" wrapText="1"/>
    </xf>
    <xf numFmtId="49" fontId="36" fillId="0" borderId="1" xfId="0" applyNumberFormat="1" applyFont="1" applyBorder="1" applyAlignment="1">
      <alignment horizontal="left" vertical="center" wrapText="1"/>
    </xf>
    <xf numFmtId="49" fontId="37" fillId="0" borderId="1" xfId="0" applyNumberFormat="1" applyFont="1" applyBorder="1" applyAlignment="1">
      <alignment horizontal="left" vertical="center" wrapText="1"/>
    </xf>
    <xf numFmtId="0" fontId="38" fillId="0" borderId="1" xfId="0" applyFont="1" applyBorder="1" applyAlignment="1">
      <alignment horizontal="center" vertical="center" wrapText="1"/>
    </xf>
    <xf numFmtId="0" fontId="38" fillId="0" borderId="0" xfId="0" applyFont="1"/>
    <xf numFmtId="49" fontId="37" fillId="0" borderId="1" xfId="16" applyNumberFormat="1" applyFont="1" applyBorder="1" applyAlignment="1">
      <alignment horizontal="justify" vertical="center" wrapText="1"/>
    </xf>
    <xf numFmtId="49" fontId="37" fillId="0" borderId="1" xfId="16" applyNumberFormat="1" applyFont="1" applyBorder="1" applyAlignment="1">
      <alignment vertical="center" wrapText="1"/>
    </xf>
    <xf numFmtId="1" fontId="16" fillId="2" borderId="1" xfId="0" applyNumberFormat="1" applyFont="1" applyFill="1" applyBorder="1" applyAlignment="1">
      <alignment horizontal="left" vertical="center" wrapText="1"/>
    </xf>
    <xf numFmtId="0" fontId="16" fillId="0" borderId="0" xfId="0" applyFont="1" applyAlignment="1">
      <alignment horizontal="right"/>
    </xf>
    <xf numFmtId="0" fontId="16" fillId="0" borderId="0" xfId="2" applyFont="1" applyAlignment="1">
      <alignment horizontal="centerContinuous"/>
    </xf>
    <xf numFmtId="0" fontId="12" fillId="0" borderId="0" xfId="2" applyFont="1"/>
    <xf numFmtId="0" fontId="12" fillId="0" borderId="0" xfId="0" applyFont="1" applyAlignment="1">
      <alignment horizontal="right"/>
    </xf>
    <xf numFmtId="0" fontId="12" fillId="0" borderId="0" xfId="2" applyFont="1" applyAlignment="1">
      <alignment horizontal="centerContinuous"/>
    </xf>
    <xf numFmtId="0" fontId="16" fillId="0" borderId="0" xfId="2" applyFont="1"/>
    <xf numFmtId="0" fontId="13" fillId="0" borderId="0" xfId="2" applyFont="1" applyAlignment="1">
      <alignment horizontal="left"/>
    </xf>
    <xf numFmtId="0" fontId="13" fillId="0" borderId="0" xfId="2" applyFont="1" applyAlignment="1">
      <alignment horizontal="center"/>
    </xf>
    <xf numFmtId="0" fontId="35" fillId="0" borderId="0" xfId="2" applyFont="1"/>
    <xf numFmtId="0" fontId="20" fillId="0" borderId="0" xfId="2" applyFont="1"/>
    <xf numFmtId="0" fontId="16" fillId="0" borderId="0" xfId="2" applyFont="1" applyAlignment="1">
      <alignment vertical="center"/>
    </xf>
    <xf numFmtId="3" fontId="16" fillId="0" borderId="0" xfId="2" applyNumberFormat="1" applyFont="1" applyAlignment="1">
      <alignment vertical="center"/>
    </xf>
    <xf numFmtId="0" fontId="35" fillId="0" borderId="0" xfId="0" applyFont="1" applyAlignment="1">
      <alignment horizontal="left"/>
    </xf>
    <xf numFmtId="0" fontId="22" fillId="0" borderId="0" xfId="0" applyFont="1"/>
    <xf numFmtId="0" fontId="22" fillId="0" borderId="0" xfId="0" applyFont="1" applyAlignment="1">
      <alignment horizontal="left"/>
    </xf>
    <xf numFmtId="0" fontId="16" fillId="2" borderId="1" xfId="2" quotePrefix="1" applyFont="1" applyFill="1" applyBorder="1" applyAlignment="1">
      <alignment horizontal="center" vertical="center"/>
    </xf>
    <xf numFmtId="0" fontId="16" fillId="2" borderId="1" xfId="2" applyFont="1" applyFill="1" applyBorder="1" applyAlignment="1">
      <alignment vertical="center"/>
    </xf>
    <xf numFmtId="0" fontId="12" fillId="0" borderId="0" xfId="0" applyFont="1" applyAlignment="1">
      <alignment vertical="center"/>
    </xf>
    <xf numFmtId="0" fontId="17" fillId="0" borderId="0" xfId="0" applyFont="1" applyAlignment="1">
      <alignment horizontal="left" vertical="center"/>
    </xf>
    <xf numFmtId="0" fontId="17" fillId="0" borderId="1" xfId="0" applyFont="1" applyBorder="1" applyAlignment="1">
      <alignment horizontal="center" vertical="center"/>
    </xf>
    <xf numFmtId="0" fontId="16" fillId="0" borderId="0" xfId="0" applyFont="1" applyAlignment="1">
      <alignment vertical="center"/>
    </xf>
    <xf numFmtId="0" fontId="35" fillId="0" borderId="1" xfId="0" applyFont="1" applyBorder="1" applyAlignment="1">
      <alignment horizontal="center" vertical="center"/>
    </xf>
    <xf numFmtId="3" fontId="82" fillId="0" borderId="1" xfId="0" applyNumberFormat="1" applyFont="1" applyBorder="1" applyAlignment="1">
      <alignment vertical="center" wrapText="1"/>
    </xf>
    <xf numFmtId="3" fontId="83" fillId="0" borderId="1" xfId="0" applyNumberFormat="1" applyFont="1" applyBorder="1" applyAlignment="1">
      <alignment vertical="center"/>
    </xf>
    <xf numFmtId="3" fontId="18" fillId="2" borderId="1" xfId="0" applyNumberFormat="1" applyFont="1" applyFill="1" applyBorder="1" applyAlignment="1">
      <alignment horizontal="right" vertical="center"/>
    </xf>
    <xf numFmtId="3" fontId="19" fillId="2" borderId="0" xfId="0" applyNumberFormat="1" applyFont="1" applyFill="1" applyAlignment="1">
      <alignment vertical="center"/>
    </xf>
    <xf numFmtId="0" fontId="53" fillId="2" borderId="0" xfId="0" applyFont="1" applyFill="1" applyAlignment="1">
      <alignment vertical="center"/>
    </xf>
    <xf numFmtId="0" fontId="14" fillId="2" borderId="0" xfId="0" applyFont="1" applyFill="1" applyAlignment="1">
      <alignment horizontal="center" vertical="center"/>
    </xf>
    <xf numFmtId="49" fontId="56" fillId="2" borderId="0" xfId="0" applyNumberFormat="1" applyFont="1" applyFill="1" applyAlignment="1">
      <alignment horizontal="center" vertical="center" wrapText="1"/>
    </xf>
    <xf numFmtId="3" fontId="18" fillId="2" borderId="0" xfId="0" applyNumberFormat="1" applyFont="1" applyFill="1" applyAlignment="1">
      <alignment horizontal="center" vertical="center"/>
    </xf>
    <xf numFmtId="0" fontId="15" fillId="2" borderId="0" xfId="0" applyFont="1" applyFill="1" applyAlignment="1">
      <alignment vertical="center"/>
    </xf>
    <xf numFmtId="49" fontId="53" fillId="2" borderId="0" xfId="0" applyNumberFormat="1" applyFont="1" applyFill="1" applyAlignment="1">
      <alignment vertical="center" wrapText="1"/>
    </xf>
    <xf numFmtId="3" fontId="18" fillId="2" borderId="2" xfId="0" applyNumberFormat="1" applyFont="1" applyFill="1" applyBorder="1" applyAlignment="1">
      <alignment horizontal="center" vertical="center"/>
    </xf>
    <xf numFmtId="0" fontId="32" fillId="2" borderId="0" xfId="0" applyFont="1" applyFill="1" applyAlignment="1">
      <alignment horizontal="center" vertical="center"/>
    </xf>
    <xf numFmtId="3" fontId="19"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4" fillId="2" borderId="1" xfId="0" applyFont="1" applyFill="1" applyBorder="1" applyAlignment="1">
      <alignment vertical="center"/>
    </xf>
    <xf numFmtId="49" fontId="14" fillId="2" borderId="1" xfId="0" applyNumberFormat="1" applyFont="1" applyFill="1" applyBorder="1" applyAlignment="1">
      <alignment horizontal="center" vertical="center" wrapText="1"/>
    </xf>
    <xf numFmtId="3" fontId="57" fillId="2" borderId="0" xfId="0" applyNumberFormat="1" applyFont="1" applyFill="1" applyAlignment="1">
      <alignment vertical="center" wrapText="1"/>
    </xf>
    <xf numFmtId="0" fontId="57" fillId="2" borderId="0" xfId="0" applyFont="1" applyFill="1" applyAlignment="1">
      <alignment vertical="center" wrapText="1"/>
    </xf>
    <xf numFmtId="0" fontId="15" fillId="2" borderId="1" xfId="0" applyFont="1" applyFill="1" applyBorder="1" applyAlignment="1">
      <alignment horizontal="center" vertical="center"/>
    </xf>
    <xf numFmtId="3" fontId="19" fillId="2" borderId="1" xfId="0" applyNumberFormat="1" applyFont="1" applyFill="1" applyBorder="1" applyAlignment="1">
      <alignment horizontal="right" vertical="center"/>
    </xf>
    <xf numFmtId="3" fontId="15" fillId="2" borderId="0" xfId="0" applyNumberFormat="1" applyFont="1" applyFill="1" applyAlignment="1">
      <alignment vertical="center" wrapText="1"/>
    </xf>
    <xf numFmtId="0" fontId="15" fillId="2" borderId="0" xfId="0" applyFont="1" applyFill="1" applyAlignment="1">
      <alignment vertical="center" wrapText="1"/>
    </xf>
    <xf numFmtId="49" fontId="15" fillId="2" borderId="1" xfId="0" applyNumberFormat="1" applyFont="1" applyFill="1" applyBorder="1" applyAlignment="1">
      <alignment vertical="center" wrapText="1"/>
    </xf>
    <xf numFmtId="3" fontId="19" fillId="2" borderId="1" xfId="0" applyNumberFormat="1" applyFont="1" applyFill="1" applyBorder="1" applyAlignment="1">
      <alignment vertical="center"/>
    </xf>
    <xf numFmtId="0" fontId="16" fillId="2" borderId="1" xfId="0" applyFont="1" applyFill="1" applyBorder="1" applyAlignment="1">
      <alignment horizontal="center" vertical="center"/>
    </xf>
    <xf numFmtId="0" fontId="16" fillId="0" borderId="1" xfId="0" applyFont="1" applyBorder="1" applyAlignment="1">
      <alignment horizontal="left" vertical="center" wrapText="1"/>
    </xf>
    <xf numFmtId="3" fontId="16" fillId="2" borderId="1" xfId="11" applyNumberFormat="1" applyFont="1" applyFill="1" applyBorder="1" applyAlignment="1">
      <alignment horizontal="right" vertical="center"/>
    </xf>
    <xf numFmtId="0" fontId="16" fillId="0" borderId="0" xfId="11" applyFont="1" applyAlignment="1">
      <alignment vertical="center"/>
    </xf>
    <xf numFmtId="0" fontId="12" fillId="0" borderId="0" xfId="11" applyFont="1" applyAlignment="1">
      <alignment vertical="center"/>
    </xf>
    <xf numFmtId="0" fontId="43" fillId="3" borderId="1" xfId="0" applyFont="1" applyFill="1" applyBorder="1" applyAlignment="1">
      <alignment horizontal="center" vertical="center"/>
    </xf>
    <xf numFmtId="0" fontId="43" fillId="3" borderId="1" xfId="0" applyFont="1" applyFill="1" applyBorder="1" applyAlignment="1">
      <alignment horizontal="left" vertical="center" wrapText="1"/>
    </xf>
    <xf numFmtId="3" fontId="43" fillId="3" borderId="1" xfId="11" applyNumberFormat="1" applyFont="1" applyFill="1" applyBorder="1" applyAlignment="1">
      <alignment vertical="center"/>
    </xf>
    <xf numFmtId="3" fontId="43" fillId="3" borderId="1" xfId="11" applyNumberFormat="1" applyFont="1" applyFill="1" applyBorder="1" applyAlignment="1">
      <alignment horizontal="right" vertical="center"/>
    </xf>
    <xf numFmtId="0" fontId="43" fillId="3" borderId="0" xfId="11" applyFont="1" applyFill="1" applyAlignment="1">
      <alignment vertical="center"/>
    </xf>
    <xf numFmtId="0" fontId="16" fillId="2" borderId="1" xfId="0" applyFont="1" applyFill="1" applyBorder="1" applyAlignment="1">
      <alignment horizontal="left" vertical="center" wrapText="1"/>
    </xf>
    <xf numFmtId="3" fontId="16" fillId="2" borderId="1" xfId="11" applyNumberFormat="1" applyFont="1" applyFill="1" applyBorder="1" applyAlignment="1">
      <alignment vertical="center"/>
    </xf>
    <xf numFmtId="0" fontId="16" fillId="2" borderId="0" xfId="11" applyFont="1" applyFill="1" applyAlignment="1">
      <alignment vertical="center"/>
    </xf>
    <xf numFmtId="0" fontId="69" fillId="2" borderId="16" xfId="11" applyFont="1" applyFill="1" applyBorder="1" applyAlignment="1">
      <alignment vertical="center"/>
    </xf>
    <xf numFmtId="49" fontId="69" fillId="2" borderId="16" xfId="0" applyNumberFormat="1" applyFont="1" applyFill="1" applyBorder="1" applyAlignment="1">
      <alignment horizontal="center" vertical="center" wrapText="1"/>
    </xf>
    <xf numFmtId="3" fontId="69" fillId="2" borderId="16" xfId="11" applyNumberFormat="1" applyFont="1" applyFill="1" applyBorder="1" applyAlignment="1">
      <alignment vertical="center"/>
    </xf>
    <xf numFmtId="0" fontId="4" fillId="2" borderId="17" xfId="0" applyFont="1" applyFill="1" applyBorder="1" applyAlignment="1">
      <alignment horizontal="center" vertical="center"/>
    </xf>
    <xf numFmtId="0" fontId="4" fillId="2" borderId="17" xfId="0" applyFont="1" applyFill="1" applyBorder="1" applyAlignment="1">
      <alignment vertical="center" wrapText="1"/>
    </xf>
    <xf numFmtId="3" fontId="4" fillId="2" borderId="17" xfId="11" applyNumberFormat="1" applyFont="1" applyFill="1" applyBorder="1" applyAlignment="1">
      <alignment vertical="center"/>
    </xf>
    <xf numFmtId="3" fontId="4" fillId="2" borderId="17" xfId="12" quotePrefix="1" applyNumberFormat="1" applyFont="1" applyFill="1" applyBorder="1" applyAlignment="1">
      <alignment horizontal="center" vertical="center" wrapText="1"/>
    </xf>
    <xf numFmtId="3" fontId="38" fillId="2" borderId="1" xfId="0" applyNumberFormat="1" applyFont="1" applyFill="1" applyBorder="1" applyAlignment="1">
      <alignment vertical="center"/>
    </xf>
    <xf numFmtId="3" fontId="37" fillId="2" borderId="1" xfId="0" applyNumberFormat="1" applyFont="1" applyFill="1" applyBorder="1" applyAlignment="1">
      <alignment vertical="center"/>
    </xf>
    <xf numFmtId="0" fontId="15" fillId="2" borderId="0" xfId="0" applyFont="1" applyFill="1"/>
    <xf numFmtId="3" fontId="17" fillId="2" borderId="0" xfId="11" applyNumberFormat="1" applyFont="1" applyFill="1" applyAlignment="1">
      <alignment horizontal="right" vertical="center"/>
    </xf>
    <xf numFmtId="0" fontId="24" fillId="2" borderId="0" xfId="0" applyFont="1" applyFill="1"/>
    <xf numFmtId="0" fontId="24" fillId="2" borderId="0" xfId="11" applyFont="1" applyFill="1"/>
    <xf numFmtId="0" fontId="22" fillId="2" borderId="0" xfId="11" applyFont="1" applyFill="1" applyAlignment="1">
      <alignment horizontal="center" vertical="center"/>
    </xf>
    <xf numFmtId="3" fontId="13" fillId="2" borderId="8" xfId="11" applyNumberFormat="1" applyFont="1" applyFill="1" applyBorder="1" applyAlignment="1">
      <alignment horizontal="right" vertical="center"/>
    </xf>
    <xf numFmtId="0" fontId="12" fillId="2" borderId="6" xfId="11" applyFont="1" applyFill="1" applyBorder="1" applyAlignment="1">
      <alignment horizontal="center" vertical="center" wrapText="1"/>
    </xf>
    <xf numFmtId="49" fontId="12" fillId="2" borderId="6" xfId="11" applyNumberFormat="1" applyFont="1" applyFill="1" applyBorder="1" applyAlignment="1">
      <alignment horizontal="center" vertical="center" wrapText="1"/>
    </xf>
    <xf numFmtId="3" fontId="12" fillId="2" borderId="6" xfId="11" applyNumberFormat="1" applyFont="1" applyFill="1" applyBorder="1" applyAlignment="1">
      <alignment horizontal="center" vertical="center" wrapText="1"/>
    </xf>
    <xf numFmtId="0" fontId="12" fillId="2" borderId="1" xfId="11" applyFont="1" applyFill="1" applyBorder="1" applyAlignment="1">
      <alignment horizontal="center" vertical="center" wrapText="1"/>
    </xf>
    <xf numFmtId="49" fontId="12" fillId="2" borderId="1" xfId="11" applyNumberFormat="1" applyFont="1" applyFill="1" applyBorder="1" applyAlignment="1">
      <alignment vertical="center" wrapText="1"/>
    </xf>
    <xf numFmtId="3" fontId="12" fillId="2" borderId="1" xfId="11" applyNumberFormat="1" applyFont="1" applyFill="1" applyBorder="1" applyAlignment="1">
      <alignment horizontal="center" vertical="center"/>
    </xf>
    <xf numFmtId="3" fontId="12" fillId="2" borderId="1" xfId="11" applyNumberFormat="1" applyFont="1" applyFill="1" applyBorder="1" applyAlignment="1">
      <alignment vertical="center"/>
    </xf>
    <xf numFmtId="0" fontId="16" fillId="2" borderId="1" xfId="11" applyFont="1" applyFill="1" applyBorder="1" applyAlignment="1">
      <alignment horizontal="center" vertical="center" wrapText="1"/>
    </xf>
    <xf numFmtId="49" fontId="16" fillId="2" borderId="1" xfId="11" applyNumberFormat="1" applyFont="1" applyFill="1" applyBorder="1" applyAlignment="1">
      <alignment vertical="center" wrapText="1"/>
    </xf>
    <xf numFmtId="3" fontId="16" fillId="2" borderId="1" xfId="0" applyNumberFormat="1" applyFont="1" applyFill="1" applyBorder="1" applyAlignment="1">
      <alignment vertical="center"/>
    </xf>
    <xf numFmtId="0" fontId="16" fillId="2" borderId="1" xfId="11" quotePrefix="1" applyFont="1" applyFill="1" applyBorder="1" applyAlignment="1">
      <alignment horizontal="center" vertical="center" wrapText="1"/>
    </xf>
    <xf numFmtId="3" fontId="83" fillId="2" borderId="1" xfId="0" applyNumberFormat="1" applyFont="1" applyFill="1" applyBorder="1" applyAlignment="1">
      <alignment vertical="center"/>
    </xf>
    <xf numFmtId="0" fontId="77" fillId="2" borderId="0" xfId="0" applyFont="1" applyFill="1"/>
    <xf numFmtId="0" fontId="77" fillId="2" borderId="0" xfId="0" applyFont="1" applyFill="1" applyAlignment="1">
      <alignment horizontal="center"/>
    </xf>
    <xf numFmtId="0" fontId="16" fillId="2" borderId="0" xfId="0" applyFont="1" applyFill="1"/>
    <xf numFmtId="3" fontId="12" fillId="2" borderId="1" xfId="16" applyNumberFormat="1" applyFont="1" applyFill="1" applyBorder="1" applyAlignment="1">
      <alignment vertical="center"/>
    </xf>
    <xf numFmtId="3" fontId="16" fillId="2" borderId="1" xfId="16" applyNumberFormat="1" applyFont="1" applyFill="1" applyBorder="1" applyAlignment="1">
      <alignment vertical="center"/>
    </xf>
    <xf numFmtId="3" fontId="13" fillId="2" borderId="1" xfId="16" applyNumberFormat="1" applyFont="1" applyFill="1" applyBorder="1" applyAlignment="1">
      <alignment vertical="center"/>
    </xf>
    <xf numFmtId="3" fontId="13" fillId="2" borderId="1" xfId="0" applyNumberFormat="1" applyFont="1" applyFill="1" applyBorder="1" applyAlignment="1">
      <alignment vertical="center"/>
    </xf>
    <xf numFmtId="3" fontId="82" fillId="2" borderId="1" xfId="0" applyNumberFormat="1" applyFont="1" applyFill="1" applyBorder="1" applyAlignment="1">
      <alignment vertical="center" wrapText="1"/>
    </xf>
    <xf numFmtId="3" fontId="12" fillId="2" borderId="1" xfId="0" applyNumberFormat="1" applyFont="1" applyFill="1" applyBorder="1" applyAlignment="1">
      <alignment vertical="center"/>
    </xf>
    <xf numFmtId="0" fontId="12" fillId="2" borderId="1" xfId="0" applyFont="1" applyFill="1" applyBorder="1"/>
    <xf numFmtId="0" fontId="7" fillId="2" borderId="0" xfId="0" applyFont="1" applyFill="1"/>
    <xf numFmtId="166" fontId="14" fillId="2" borderId="1" xfId="13" applyNumberFormat="1" applyFont="1" applyFill="1" applyBorder="1" applyAlignment="1">
      <alignment horizontal="right" vertical="center" wrapText="1"/>
    </xf>
    <xf numFmtId="166" fontId="15" fillId="2" borderId="1" xfId="13" applyNumberFormat="1" applyFont="1" applyFill="1" applyBorder="1" applyAlignment="1">
      <alignment horizontal="right" vertical="center" wrapText="1"/>
    </xf>
    <xf numFmtId="166" fontId="15" fillId="2" borderId="1" xfId="13" applyNumberFormat="1" applyFont="1" applyFill="1" applyBorder="1" applyAlignment="1">
      <alignment horizontal="right" vertical="center"/>
    </xf>
    <xf numFmtId="166" fontId="15" fillId="2" borderId="1" xfId="13" applyNumberFormat="1" applyFont="1" applyFill="1" applyBorder="1" applyAlignment="1">
      <alignment vertical="center"/>
    </xf>
    <xf numFmtId="0" fontId="14" fillId="2" borderId="0" xfId="0" applyFont="1" applyFill="1"/>
    <xf numFmtId="3" fontId="16" fillId="0" borderId="0" xfId="2" applyNumberFormat="1" applyFont="1"/>
    <xf numFmtId="3" fontId="12" fillId="0" borderId="0" xfId="2" applyNumberFormat="1" applyFont="1"/>
    <xf numFmtId="3" fontId="35" fillId="0" borderId="0" xfId="2" applyNumberFormat="1" applyFont="1"/>
    <xf numFmtId="0" fontId="16" fillId="2" borderId="5"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2" fillId="2" borderId="1" xfId="2" applyFont="1" applyFill="1" applyBorder="1" applyAlignment="1">
      <alignment horizontal="center" vertical="center"/>
    </xf>
    <xf numFmtId="0" fontId="12" fillId="2" borderId="1" xfId="2" applyFont="1" applyFill="1" applyBorder="1" applyAlignment="1">
      <alignment vertical="center"/>
    </xf>
    <xf numFmtId="3" fontId="12" fillId="2" borderId="1" xfId="2" applyNumberFormat="1" applyFont="1" applyFill="1" applyBorder="1" applyAlignment="1">
      <alignment vertical="center"/>
    </xf>
    <xf numFmtId="0" fontId="16" fillId="2" borderId="1" xfId="2" applyFont="1" applyFill="1" applyBorder="1" applyAlignment="1">
      <alignment horizontal="center" vertical="center"/>
    </xf>
    <xf numFmtId="0" fontId="4" fillId="2" borderId="1" xfId="2" applyFont="1" applyFill="1" applyBorder="1" applyAlignment="1">
      <alignment horizontal="center" vertical="center"/>
    </xf>
    <xf numFmtId="3" fontId="16" fillId="2" borderId="1" xfId="0" applyNumberFormat="1" applyFont="1" applyFill="1" applyBorder="1" applyAlignment="1">
      <alignment vertical="center" wrapText="1"/>
    </xf>
    <xf numFmtId="49" fontId="20" fillId="0" borderId="1" xfId="0" applyNumberFormat="1" applyFont="1" applyBorder="1" applyAlignment="1">
      <alignment vertical="center" wrapText="1"/>
    </xf>
    <xf numFmtId="49" fontId="16" fillId="2" borderId="1" xfId="11" applyNumberFormat="1" applyFont="1" applyFill="1" applyBorder="1" applyAlignment="1">
      <alignment horizontal="center" vertical="center" wrapText="1"/>
    </xf>
    <xf numFmtId="3" fontId="85" fillId="0" borderId="1" xfId="0" applyNumberFormat="1" applyFont="1" applyBorder="1" applyAlignment="1">
      <alignment vertical="center"/>
    </xf>
    <xf numFmtId="0" fontId="2" fillId="0" borderId="1" xfId="0" applyFont="1" applyBorder="1" applyAlignment="1">
      <alignment horizontal="center" vertical="center"/>
    </xf>
    <xf numFmtId="49" fontId="2" fillId="0" borderId="1" xfId="0" applyNumberFormat="1" applyFont="1" applyBorder="1" applyAlignment="1">
      <alignment vertical="center" wrapText="1"/>
    </xf>
    <xf numFmtId="49" fontId="22" fillId="3" borderId="1" xfId="11" applyNumberFormat="1" applyFont="1" applyFill="1" applyBorder="1" applyAlignment="1">
      <alignment vertical="center" wrapText="1"/>
    </xf>
    <xf numFmtId="165" fontId="75" fillId="0" borderId="0" xfId="0" applyNumberFormat="1" applyFont="1"/>
    <xf numFmtId="3" fontId="7" fillId="0" borderId="0" xfId="0" applyNumberFormat="1" applyFont="1"/>
    <xf numFmtId="3" fontId="24" fillId="0" borderId="0" xfId="0" applyNumberFormat="1" applyFont="1"/>
    <xf numFmtId="3" fontId="83" fillId="2" borderId="1" xfId="0" applyNumberFormat="1" applyFont="1" applyFill="1" applyBorder="1" applyAlignment="1">
      <alignment vertical="center" wrapText="1"/>
    </xf>
    <xf numFmtId="3" fontId="53" fillId="2" borderId="0" xfId="0" applyNumberFormat="1" applyFont="1" applyFill="1" applyAlignment="1">
      <alignment vertical="center"/>
    </xf>
    <xf numFmtId="0" fontId="20" fillId="0" borderId="1" xfId="3" applyFont="1" applyBorder="1" applyAlignment="1">
      <alignment horizontal="center" vertical="center" wrapText="1"/>
    </xf>
    <xf numFmtId="0" fontId="20" fillId="0" borderId="1" xfId="0" applyFont="1" applyBorder="1" applyAlignment="1">
      <alignment vertical="center" wrapText="1"/>
    </xf>
    <xf numFmtId="3" fontId="20" fillId="0" borderId="1" xfId="24" applyNumberFormat="1" applyFont="1" applyBorder="1" applyAlignment="1">
      <alignment horizontal="center" vertical="center" wrapText="1"/>
    </xf>
    <xf numFmtId="0" fontId="20" fillId="0" borderId="1" xfId="0" applyFont="1" applyBorder="1" applyAlignment="1">
      <alignment vertical="center"/>
    </xf>
    <xf numFmtId="0" fontId="0" fillId="0" borderId="1" xfId="0" applyBorder="1" applyAlignment="1">
      <alignment vertical="center"/>
    </xf>
    <xf numFmtId="3" fontId="0" fillId="0" borderId="1" xfId="0" applyNumberFormat="1" applyBorder="1" applyAlignment="1">
      <alignment vertical="center"/>
    </xf>
    <xf numFmtId="0" fontId="20" fillId="2" borderId="1" xfId="3" applyFont="1" applyFill="1" applyBorder="1" applyAlignment="1">
      <alignment horizontal="center" vertical="center" wrapText="1"/>
    </xf>
    <xf numFmtId="0" fontId="20" fillId="2" borderId="1" xfId="0" applyFont="1" applyFill="1" applyBorder="1" applyAlignment="1">
      <alignment vertical="center" wrapText="1"/>
    </xf>
    <xf numFmtId="0" fontId="0" fillId="2" borderId="1" xfId="0" applyFill="1" applyBorder="1" applyAlignment="1">
      <alignment vertical="center"/>
    </xf>
    <xf numFmtId="3" fontId="0" fillId="2" borderId="1" xfId="0" applyNumberFormat="1" applyFill="1" applyBorder="1" applyAlignment="1">
      <alignment vertical="center"/>
    </xf>
    <xf numFmtId="0" fontId="0" fillId="2" borderId="0" xfId="0" applyFill="1" applyAlignment="1">
      <alignment vertical="center"/>
    </xf>
    <xf numFmtId="9" fontId="24" fillId="0" borderId="1" xfId="0" applyNumberFormat="1" applyFont="1" applyBorder="1" applyAlignment="1">
      <alignment vertical="center"/>
    </xf>
    <xf numFmtId="0" fontId="16" fillId="0" borderId="1" xfId="3" applyFont="1" applyBorder="1" applyAlignment="1">
      <alignment horizontal="center" vertical="center" wrapText="1"/>
    </xf>
    <xf numFmtId="0" fontId="16" fillId="0" borderId="1" xfId="0" applyFont="1" applyBorder="1" applyAlignment="1">
      <alignment vertical="center" wrapText="1"/>
    </xf>
    <xf numFmtId="3" fontId="16" fillId="0" borderId="1" xfId="24" applyNumberFormat="1" applyFont="1" applyBorder="1" applyAlignment="1">
      <alignment horizontal="center" vertical="center" wrapText="1"/>
    </xf>
    <xf numFmtId="0" fontId="22" fillId="2" borderId="0" xfId="0" applyFont="1" applyFill="1" applyAlignment="1">
      <alignment horizontal="center" vertical="center"/>
    </xf>
    <xf numFmtId="3" fontId="3" fillId="2" borderId="1" xfId="0" applyNumberFormat="1" applyFont="1" applyFill="1" applyBorder="1" applyAlignment="1">
      <alignment horizontal="center" vertical="center" wrapText="1"/>
    </xf>
    <xf numFmtId="0" fontId="86" fillId="2" borderId="0" xfId="11" applyFont="1" applyFill="1" applyAlignment="1">
      <alignment vertical="center"/>
    </xf>
    <xf numFmtId="0" fontId="87" fillId="2" borderId="0" xfId="11" applyFont="1" applyFill="1" applyAlignment="1">
      <alignment horizontal="center" vertical="center" wrapText="1"/>
    </xf>
    <xf numFmtId="0" fontId="88" fillId="2" borderId="0" xfId="11" applyFont="1" applyFill="1" applyAlignment="1">
      <alignment vertical="center"/>
    </xf>
    <xf numFmtId="3" fontId="86" fillId="2" borderId="0" xfId="11" applyNumberFormat="1" applyFont="1" applyFill="1" applyAlignment="1">
      <alignment vertical="center"/>
    </xf>
    <xf numFmtId="165" fontId="86" fillId="2" borderId="0" xfId="17" applyNumberFormat="1" applyFont="1" applyFill="1" applyAlignment="1">
      <alignment vertical="center"/>
    </xf>
    <xf numFmtId="165" fontId="86" fillId="2" borderId="0" xfId="11" applyNumberFormat="1" applyFont="1" applyFill="1" applyAlignment="1">
      <alignment vertical="center"/>
    </xf>
    <xf numFmtId="3" fontId="36" fillId="2" borderId="1" xfId="0" applyNumberFormat="1" applyFont="1" applyFill="1" applyBorder="1" applyAlignment="1">
      <alignment vertical="center" wrapText="1"/>
    </xf>
    <xf numFmtId="0" fontId="17" fillId="2" borderId="0" xfId="0" applyFont="1" applyFill="1" applyAlignment="1">
      <alignment horizontal="right" vertical="center"/>
    </xf>
    <xf numFmtId="0" fontId="17"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3" fontId="17" fillId="2" borderId="1" xfId="0" applyNumberFormat="1" applyFont="1" applyFill="1" applyBorder="1" applyAlignment="1">
      <alignment horizontal="right" vertical="center" wrapText="1"/>
    </xf>
    <xf numFmtId="3" fontId="35" fillId="2" borderId="1" xfId="0" applyNumberFormat="1" applyFont="1" applyFill="1" applyBorder="1" applyAlignment="1">
      <alignment horizontal="right" vertical="center" wrapText="1"/>
    </xf>
    <xf numFmtId="3" fontId="35" fillId="2" borderId="1" xfId="0" applyNumberFormat="1" applyFont="1" applyFill="1" applyBorder="1" applyAlignment="1">
      <alignment vertical="center" wrapText="1"/>
    </xf>
    <xf numFmtId="0" fontId="62" fillId="2" borderId="1" xfId="0" applyFont="1" applyFill="1" applyBorder="1" applyAlignment="1">
      <alignment vertical="center"/>
    </xf>
    <xf numFmtId="0" fontId="62" fillId="2" borderId="0" xfId="0" applyFont="1" applyFill="1" applyAlignment="1">
      <alignment vertical="center"/>
    </xf>
    <xf numFmtId="3" fontId="3" fillId="2" borderId="0" xfId="0" applyNumberFormat="1" applyFont="1" applyFill="1" applyAlignment="1">
      <alignment horizontal="left" vertical="center"/>
    </xf>
    <xf numFmtId="0" fontId="3" fillId="2" borderId="0" xfId="0" applyFont="1" applyFill="1" applyAlignment="1">
      <alignment horizontal="left" vertical="center" wrapText="1"/>
    </xf>
    <xf numFmtId="3" fontId="70" fillId="2" borderId="1" xfId="0" applyNumberFormat="1" applyFont="1" applyFill="1" applyBorder="1" applyAlignment="1">
      <alignment horizontal="center" vertical="center" wrapText="1"/>
    </xf>
    <xf numFmtId="2" fontId="94" fillId="2" borderId="1" xfId="25" applyNumberFormat="1" applyFont="1" applyFill="1" applyBorder="1" applyAlignment="1">
      <alignment horizontal="center" vertical="center" wrapText="1"/>
    </xf>
    <xf numFmtId="3" fontId="94" fillId="2" borderId="1" xfId="0" applyNumberFormat="1" applyFont="1" applyFill="1" applyBorder="1" applyAlignment="1">
      <alignment horizontal="justify" vertical="center" wrapText="1"/>
    </xf>
    <xf numFmtId="165" fontId="4" fillId="2" borderId="1" xfId="17" applyNumberFormat="1" applyFont="1" applyFill="1" applyBorder="1" applyAlignment="1">
      <alignment vertical="center"/>
    </xf>
    <xf numFmtId="3" fontId="94" fillId="2" borderId="17" xfId="27" applyNumberFormat="1" applyFont="1" applyFill="1" applyBorder="1" applyAlignment="1">
      <alignment horizontal="left" vertical="center" wrapText="1"/>
    </xf>
    <xf numFmtId="165" fontId="3" fillId="2" borderId="1" xfId="17" applyNumberFormat="1" applyFont="1" applyFill="1" applyBorder="1" applyAlignment="1">
      <alignment horizontal="right" vertical="center" wrapText="1"/>
    </xf>
    <xf numFmtId="37" fontId="4" fillId="2" borderId="1" xfId="17" applyNumberFormat="1" applyFont="1" applyFill="1" applyBorder="1" applyAlignment="1">
      <alignment vertical="center"/>
    </xf>
    <xf numFmtId="0" fontId="3" fillId="2" borderId="0" xfId="0" applyFont="1" applyFill="1" applyAlignment="1">
      <alignment horizontal="left" vertical="center"/>
    </xf>
    <xf numFmtId="0" fontId="96" fillId="2" borderId="1" xfId="25" applyFont="1" applyFill="1" applyBorder="1" applyAlignment="1">
      <alignment horizontal="justify" vertical="center" wrapText="1"/>
    </xf>
    <xf numFmtId="3" fontId="97" fillId="2" borderId="1" xfId="29" applyNumberFormat="1" applyFont="1" applyFill="1" applyBorder="1" applyAlignment="1">
      <alignment horizontal="right" vertical="center"/>
    </xf>
    <xf numFmtId="165" fontId="4" fillId="2" borderId="0" xfId="17" applyNumberFormat="1" applyFont="1" applyFill="1" applyAlignment="1">
      <alignment vertical="center"/>
    </xf>
    <xf numFmtId="3"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49" fontId="14" fillId="2" borderId="1" xfId="0" applyNumberFormat="1" applyFont="1" applyFill="1" applyBorder="1" applyAlignment="1">
      <alignment horizontal="left" vertical="center" wrapText="1"/>
    </xf>
    <xf numFmtId="49" fontId="14" fillId="2" borderId="1" xfId="0" applyNumberFormat="1" applyFont="1" applyFill="1" applyBorder="1" applyAlignment="1">
      <alignment vertical="center" wrapText="1"/>
    </xf>
    <xf numFmtId="0" fontId="14" fillId="2" borderId="1" xfId="0" applyFont="1" applyFill="1" applyBorder="1"/>
    <xf numFmtId="166" fontId="7" fillId="2" borderId="0" xfId="0" applyNumberFormat="1" applyFont="1" applyFill="1"/>
    <xf numFmtId="0" fontId="86" fillId="2" borderId="0" xfId="0" applyFont="1" applyFill="1" applyAlignment="1">
      <alignment vertical="center"/>
    </xf>
    <xf numFmtId="0" fontId="86" fillId="2" borderId="0" xfId="0" applyFont="1" applyFill="1" applyAlignment="1">
      <alignment horizontal="center" vertical="center"/>
    </xf>
    <xf numFmtId="0" fontId="87" fillId="2" borderId="0" xfId="0" applyFont="1" applyFill="1" applyAlignment="1">
      <alignment horizontal="center" vertical="center"/>
    </xf>
    <xf numFmtId="0" fontId="86" fillId="2" borderId="0" xfId="0" applyFont="1" applyFill="1" applyAlignment="1">
      <alignment vertical="center" wrapText="1"/>
    </xf>
    <xf numFmtId="0" fontId="87" fillId="2" borderId="0" xfId="0" applyFont="1" applyFill="1" applyAlignment="1">
      <alignment vertical="center" wrapText="1"/>
    </xf>
    <xf numFmtId="0" fontId="87" fillId="2" borderId="0" xfId="0" applyFont="1" applyFill="1" applyAlignment="1">
      <alignment vertical="center"/>
    </xf>
    <xf numFmtId="0" fontId="87" fillId="2" borderId="0" xfId="0" applyFont="1" applyFill="1" applyAlignment="1">
      <alignment horizontal="left" vertical="center" wrapText="1"/>
    </xf>
    <xf numFmtId="0" fontId="103" fillId="2" borderId="0" xfId="0" applyFont="1" applyFill="1" applyAlignment="1">
      <alignment vertical="center" wrapText="1"/>
    </xf>
    <xf numFmtId="0" fontId="103" fillId="2" borderId="0" xfId="0" applyFont="1" applyFill="1" applyAlignment="1">
      <alignment vertical="center"/>
    </xf>
    <xf numFmtId="0" fontId="87" fillId="2" borderId="0" xfId="0" applyFont="1" applyFill="1" applyAlignment="1">
      <alignment horizontal="left" vertical="center"/>
    </xf>
    <xf numFmtId="3" fontId="3" fillId="2" borderId="1" xfId="0" applyNumberFormat="1" applyFont="1" applyFill="1" applyBorder="1" applyAlignment="1">
      <alignment horizontal="left" vertical="center" wrapText="1"/>
    </xf>
    <xf numFmtId="3" fontId="102" fillId="2" borderId="0" xfId="25" applyNumberFormat="1" applyFont="1" applyFill="1" applyAlignment="1">
      <alignment horizontal="right" vertical="center" wrapText="1"/>
    </xf>
    <xf numFmtId="3" fontId="86" fillId="2" borderId="0" xfId="0" applyNumberFormat="1" applyFont="1" applyFill="1" applyAlignment="1">
      <alignment vertical="center"/>
    </xf>
    <xf numFmtId="3" fontId="90" fillId="2" borderId="1" xfId="12" applyNumberFormat="1" applyFont="1" applyFill="1" applyBorder="1" applyAlignment="1">
      <alignment horizontal="justify" vertical="center" wrapText="1"/>
    </xf>
    <xf numFmtId="3" fontId="90" fillId="2" borderId="1" xfId="12" quotePrefix="1" applyNumberFormat="1" applyFont="1" applyFill="1" applyBorder="1" applyAlignment="1">
      <alignment horizontal="center" vertical="center" wrapText="1"/>
    </xf>
    <xf numFmtId="3" fontId="89" fillId="2" borderId="1" xfId="12" quotePrefix="1" applyNumberFormat="1" applyFont="1" applyFill="1" applyBorder="1" applyAlignment="1">
      <alignment horizontal="center" vertical="center" wrapText="1"/>
    </xf>
    <xf numFmtId="3" fontId="90" fillId="2" borderId="1" xfId="12" quotePrefix="1" applyNumberFormat="1" applyFont="1" applyFill="1" applyBorder="1" applyAlignment="1">
      <alignment horizontal="right" vertical="center" wrapText="1"/>
    </xf>
    <xf numFmtId="3" fontId="28" fillId="2" borderId="1" xfId="12" quotePrefix="1" applyNumberFormat="1" applyFont="1" applyFill="1" applyBorder="1" applyAlignment="1">
      <alignment horizontal="left" vertical="center" wrapText="1"/>
    </xf>
    <xf numFmtId="3" fontId="91" fillId="2" borderId="1" xfId="12" quotePrefix="1" applyNumberFormat="1" applyFont="1" applyFill="1" applyBorder="1" applyAlignment="1">
      <alignment horizontal="center" vertical="center" wrapText="1"/>
    </xf>
    <xf numFmtId="3" fontId="28" fillId="2" borderId="1" xfId="12" quotePrefix="1" applyNumberFormat="1" applyFont="1" applyFill="1" applyBorder="1" applyAlignment="1">
      <alignment horizontal="center" vertical="center" wrapText="1"/>
    </xf>
    <xf numFmtId="1" fontId="3" fillId="2" borderId="1" xfId="12" applyNumberFormat="1" applyFont="1" applyFill="1" applyBorder="1" applyAlignment="1">
      <alignment horizontal="center" vertical="center" wrapText="1"/>
    </xf>
    <xf numFmtId="0" fontId="3" fillId="2" borderId="1" xfId="0" applyFont="1" applyFill="1" applyBorder="1" applyAlignment="1">
      <alignment horizontal="justify" vertical="center"/>
    </xf>
    <xf numFmtId="3" fontId="3" fillId="2" borderId="1" xfId="12" quotePrefix="1" applyNumberFormat="1" applyFont="1" applyFill="1" applyBorder="1" applyAlignment="1">
      <alignment horizontal="center" vertical="center" wrapText="1"/>
    </xf>
    <xf numFmtId="167" fontId="3" fillId="2" borderId="1" xfId="21" applyNumberFormat="1" applyFont="1" applyFill="1" applyBorder="1" applyAlignment="1">
      <alignment horizontal="right" vertical="center" wrapText="1"/>
    </xf>
    <xf numFmtId="3" fontId="92" fillId="2" borderId="1" xfId="0" applyNumberFormat="1" applyFont="1" applyFill="1" applyBorder="1" applyAlignment="1">
      <alignment horizontal="center" vertical="center" wrapText="1"/>
    </xf>
    <xf numFmtId="3" fontId="20" fillId="2" borderId="1" xfId="12" applyNumberFormat="1" applyFont="1" applyFill="1" applyBorder="1" applyAlignment="1">
      <alignment horizontal="justify" vertical="center" wrapText="1"/>
    </xf>
    <xf numFmtId="3" fontId="20" fillId="2" borderId="1" xfId="12" quotePrefix="1" applyNumberFormat="1" applyFont="1" applyFill="1" applyBorder="1" applyAlignment="1">
      <alignment horizontal="center" vertical="center" wrapText="1"/>
    </xf>
    <xf numFmtId="3" fontId="20" fillId="2" borderId="1" xfId="12" quotePrefix="1" applyNumberFormat="1" applyFont="1" applyFill="1" applyBorder="1" applyAlignment="1">
      <alignment horizontal="right" vertical="center" wrapText="1"/>
    </xf>
    <xf numFmtId="3" fontId="89" fillId="2" borderId="1" xfId="12" quotePrefix="1" applyNumberFormat="1" applyFont="1" applyFill="1" applyBorder="1" applyAlignment="1">
      <alignment horizontal="left" vertical="center" wrapText="1"/>
    </xf>
    <xf numFmtId="3" fontId="72" fillId="2" borderId="0" xfId="0" applyNumberFormat="1" applyFont="1" applyFill="1" applyAlignment="1">
      <alignment vertical="center"/>
    </xf>
    <xf numFmtId="0" fontId="93" fillId="2" borderId="0" xfId="0" applyFont="1" applyFill="1" applyAlignment="1">
      <alignment vertical="center" wrapText="1"/>
    </xf>
    <xf numFmtId="0" fontId="104" fillId="2" borderId="0" xfId="0" applyFont="1" applyFill="1" applyAlignment="1">
      <alignment vertical="center" wrapText="1"/>
    </xf>
    <xf numFmtId="3" fontId="3" fillId="2" borderId="1" xfId="11" applyNumberFormat="1" applyFont="1" applyFill="1" applyBorder="1" applyAlignment="1">
      <alignment horizontal="left" vertical="center" wrapText="1"/>
    </xf>
    <xf numFmtId="1" fontId="4" fillId="2" borderId="1" xfId="23" applyNumberFormat="1" applyFont="1" applyFill="1" applyBorder="1" applyAlignment="1">
      <alignment horizontal="center" vertical="center" wrapText="1"/>
    </xf>
    <xf numFmtId="1" fontId="3" fillId="2" borderId="1" xfId="23" applyNumberFormat="1" applyFont="1" applyFill="1" applyBorder="1" applyAlignment="1">
      <alignment horizontal="center" vertical="center" wrapText="1"/>
    </xf>
    <xf numFmtId="3" fontId="91" fillId="2" borderId="1" xfId="12" applyNumberFormat="1" applyFont="1" applyFill="1" applyBorder="1" applyAlignment="1">
      <alignment horizontal="justify" vertical="center" wrapText="1"/>
    </xf>
    <xf numFmtId="3" fontId="91" fillId="2" borderId="1" xfId="12" quotePrefix="1"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3" fontId="90" fillId="2" borderId="1" xfId="9" applyNumberFormat="1" applyFont="1" applyFill="1" applyBorder="1" applyAlignment="1">
      <alignment horizontal="justify" vertical="center" wrapText="1"/>
    </xf>
    <xf numFmtId="3" fontId="89" fillId="2" borderId="1" xfId="9" applyNumberFormat="1" applyFont="1" applyFill="1" applyBorder="1" applyAlignment="1">
      <alignment horizontal="center" vertical="center" wrapText="1"/>
    </xf>
    <xf numFmtId="3" fontId="90" fillId="2" borderId="1" xfId="9" applyNumberFormat="1" applyFont="1" applyFill="1" applyBorder="1" applyAlignment="1">
      <alignment horizontal="right" vertical="center" wrapText="1"/>
    </xf>
    <xf numFmtId="3" fontId="90" fillId="2" borderId="17" xfId="12" applyNumberFormat="1" applyFont="1" applyFill="1" applyBorder="1" applyAlignment="1">
      <alignment horizontal="justify" vertical="center" wrapText="1"/>
    </xf>
    <xf numFmtId="3" fontId="89" fillId="2" borderId="17" xfId="12" quotePrefix="1" applyNumberFormat="1" applyFont="1" applyFill="1" applyBorder="1" applyAlignment="1">
      <alignment horizontal="left" vertical="center" wrapText="1"/>
    </xf>
    <xf numFmtId="3" fontId="28" fillId="2" borderId="1" xfId="9" applyNumberFormat="1" applyFont="1" applyFill="1" applyBorder="1" applyAlignment="1">
      <alignment horizontal="left" vertical="center" wrapText="1"/>
    </xf>
    <xf numFmtId="3" fontId="89" fillId="2" borderId="1" xfId="9" quotePrefix="1" applyNumberFormat="1" applyFont="1" applyFill="1" applyBorder="1" applyAlignment="1">
      <alignment horizontal="center" vertical="center" wrapText="1"/>
    </xf>
    <xf numFmtId="0" fontId="94" fillId="2" borderId="1" xfId="25" applyFont="1" applyFill="1" applyBorder="1" applyAlignment="1">
      <alignment horizontal="center" vertical="center" wrapText="1"/>
    </xf>
    <xf numFmtId="3" fontId="94" fillId="2" borderId="1" xfId="25" applyNumberFormat="1" applyFont="1" applyFill="1" applyBorder="1" applyAlignment="1">
      <alignment horizontal="justify" vertical="center" wrapText="1"/>
    </xf>
    <xf numFmtId="167" fontId="94" fillId="2" borderId="1" xfId="26" applyNumberFormat="1" applyFont="1" applyFill="1" applyBorder="1" applyAlignment="1">
      <alignment horizontal="right" vertical="center" wrapText="1"/>
    </xf>
    <xf numFmtId="3" fontId="94" fillId="2" borderId="1" xfId="25" applyNumberFormat="1" applyFont="1" applyFill="1" applyBorder="1" applyAlignment="1">
      <alignment horizontal="right" vertical="center" wrapText="1"/>
    </xf>
    <xf numFmtId="0" fontId="94" fillId="2" borderId="1" xfId="0" applyFont="1" applyFill="1" applyBorder="1" applyAlignment="1">
      <alignment horizontal="center" vertical="center" wrapText="1"/>
    </xf>
    <xf numFmtId="3" fontId="94" fillId="2" borderId="1" xfId="0" applyNumberFormat="1" applyFont="1" applyFill="1" applyBorder="1" applyAlignment="1">
      <alignment horizontal="right" vertical="center" wrapText="1"/>
    </xf>
    <xf numFmtId="1" fontId="94" fillId="2" borderId="1" xfId="12" applyNumberFormat="1" applyFont="1" applyFill="1" applyBorder="1" applyAlignment="1">
      <alignment vertical="center" wrapText="1"/>
    </xf>
    <xf numFmtId="1" fontId="94" fillId="2" borderId="1" xfId="12" applyNumberFormat="1" applyFont="1" applyFill="1" applyBorder="1" applyAlignment="1">
      <alignment horizontal="center" vertical="center" wrapText="1"/>
    </xf>
    <xf numFmtId="1" fontId="90" fillId="2" borderId="1" xfId="12" applyNumberFormat="1" applyFont="1" applyFill="1" applyBorder="1" applyAlignment="1">
      <alignment horizontal="justify" vertical="center" wrapText="1"/>
    </xf>
    <xf numFmtId="3" fontId="90" fillId="2" borderId="17" xfId="12" quotePrefix="1" applyNumberFormat="1" applyFont="1" applyFill="1" applyBorder="1" applyAlignment="1">
      <alignment horizontal="center" vertical="center" wrapText="1"/>
    </xf>
    <xf numFmtId="3" fontId="89" fillId="2" borderId="17" xfId="12" quotePrefix="1" applyNumberFormat="1" applyFont="1" applyFill="1" applyBorder="1" applyAlignment="1">
      <alignment horizontal="center" vertical="center" wrapText="1"/>
    </xf>
    <xf numFmtId="3" fontId="90" fillId="2" borderId="17" xfId="12" quotePrefix="1" applyNumberFormat="1" applyFont="1" applyFill="1" applyBorder="1" applyAlignment="1">
      <alignment horizontal="right" vertical="center" wrapText="1"/>
    </xf>
    <xf numFmtId="3" fontId="20" fillId="2" borderId="20" xfId="12" applyNumberFormat="1" applyFont="1" applyFill="1" applyBorder="1" applyAlignment="1">
      <alignment horizontal="justify" vertical="center" wrapText="1"/>
    </xf>
    <xf numFmtId="3" fontId="20" fillId="2" borderId="17" xfId="12" quotePrefix="1" applyNumberFormat="1" applyFont="1" applyFill="1" applyBorder="1" applyAlignment="1">
      <alignment horizontal="center" vertical="center" wrapText="1"/>
    </xf>
    <xf numFmtId="3" fontId="20" fillId="2" borderId="20" xfId="12" quotePrefix="1" applyNumberFormat="1" applyFont="1" applyFill="1" applyBorder="1" applyAlignment="1">
      <alignment horizontal="right" vertical="center" wrapText="1"/>
    </xf>
    <xf numFmtId="3" fontId="20" fillId="2" borderId="20" xfId="12" quotePrefix="1" applyNumberFormat="1" applyFont="1" applyFill="1" applyBorder="1" applyAlignment="1">
      <alignment horizontal="center" vertical="center" wrapText="1"/>
    </xf>
    <xf numFmtId="3" fontId="20" fillId="2" borderId="17" xfId="12" applyNumberFormat="1" applyFont="1" applyFill="1" applyBorder="1" applyAlignment="1">
      <alignment horizontal="justify" vertical="center" wrapText="1"/>
    </xf>
    <xf numFmtId="3" fontId="20" fillId="2" borderId="17" xfId="12" quotePrefix="1" applyNumberFormat="1" applyFont="1" applyFill="1" applyBorder="1" applyAlignment="1">
      <alignment horizontal="right" vertical="center" wrapText="1"/>
    </xf>
    <xf numFmtId="0" fontId="94" fillId="2" borderId="17" xfId="25" applyFont="1" applyFill="1" applyBorder="1" applyAlignment="1">
      <alignment horizontal="center" vertical="center" wrapText="1"/>
    </xf>
    <xf numFmtId="1" fontId="94" fillId="2" borderId="17" xfId="12" applyNumberFormat="1" applyFont="1" applyFill="1" applyBorder="1" applyAlignment="1">
      <alignment horizontal="center" vertical="center" wrapText="1"/>
    </xf>
    <xf numFmtId="167" fontId="94" fillId="2" borderId="17" xfId="26" applyNumberFormat="1" applyFont="1" applyFill="1" applyBorder="1" applyAlignment="1">
      <alignment horizontal="right" vertical="center" wrapText="1"/>
    </xf>
    <xf numFmtId="3" fontId="94" fillId="2" borderId="17" xfId="25" applyNumberFormat="1" applyFont="1" applyFill="1" applyBorder="1" applyAlignment="1">
      <alignment horizontal="right" vertical="center" wrapText="1"/>
    </xf>
    <xf numFmtId="3" fontId="4" fillId="2" borderId="1" xfId="12" quotePrefix="1" applyNumberFormat="1" applyFont="1" applyFill="1" applyBorder="1" applyAlignment="1">
      <alignment horizontal="left" vertical="center" wrapText="1"/>
    </xf>
    <xf numFmtId="0" fontId="72" fillId="2" borderId="0" xfId="0" applyFont="1" applyFill="1" applyAlignment="1">
      <alignment vertical="center" wrapText="1"/>
    </xf>
    <xf numFmtId="0" fontId="90" fillId="2" borderId="1" xfId="9" applyFont="1" applyFill="1" applyBorder="1" applyAlignment="1">
      <alignment horizontal="justify" vertical="center" wrapText="1"/>
    </xf>
    <xf numFmtId="2" fontId="90" fillId="2" borderId="1" xfId="28" quotePrefix="1" applyNumberFormat="1" applyFont="1" applyFill="1" applyBorder="1" applyAlignment="1">
      <alignment horizontal="center" vertical="center" wrapText="1"/>
    </xf>
    <xf numFmtId="0" fontId="89" fillId="2" borderId="1" xfId="9" applyFont="1" applyFill="1" applyBorder="1" applyAlignment="1">
      <alignment horizontal="center" vertical="center" wrapText="1"/>
    </xf>
    <xf numFmtId="2" fontId="28" fillId="2" borderId="1" xfId="28" applyNumberFormat="1" applyFont="1" applyFill="1" applyBorder="1" applyAlignment="1">
      <alignment horizontal="left" vertical="center" wrapText="1"/>
    </xf>
    <xf numFmtId="2" fontId="91" fillId="2" borderId="1" xfId="28" quotePrefix="1" applyNumberFormat="1" applyFont="1" applyFill="1" applyBorder="1" applyAlignment="1">
      <alignment horizontal="center" vertical="center" wrapText="1"/>
    </xf>
    <xf numFmtId="0" fontId="28" fillId="2" borderId="1" xfId="9" applyFont="1" applyFill="1" applyBorder="1" applyAlignment="1">
      <alignment horizontal="center" vertical="center" wrapText="1"/>
    </xf>
    <xf numFmtId="2" fontId="89" fillId="2" borderId="1" xfId="28" applyNumberFormat="1" applyFont="1" applyFill="1" applyBorder="1" applyAlignment="1">
      <alignment horizontal="center" vertical="center" wrapText="1"/>
    </xf>
    <xf numFmtId="0" fontId="93" fillId="2" borderId="1" xfId="0" applyFont="1" applyFill="1" applyBorder="1" applyAlignment="1">
      <alignment vertical="center" wrapText="1"/>
    </xf>
    <xf numFmtId="3" fontId="92" fillId="2" borderId="1" xfId="0" applyNumberFormat="1" applyFont="1" applyFill="1" applyBorder="1" applyAlignment="1">
      <alignment horizontal="right" vertical="center" wrapText="1"/>
    </xf>
    <xf numFmtId="3" fontId="91" fillId="2" borderId="1" xfId="12" quotePrefix="1" applyNumberFormat="1" applyFont="1" applyFill="1" applyBorder="1" applyAlignment="1">
      <alignment horizontal="right" vertical="center" wrapText="1"/>
    </xf>
    <xf numFmtId="0" fontId="90" fillId="2" borderId="1" xfId="12" applyFont="1" applyFill="1" applyBorder="1" applyAlignment="1">
      <alignment horizontal="justify" vertical="center" wrapText="1"/>
    </xf>
    <xf numFmtId="0" fontId="90" fillId="2" borderId="1" xfId="12" quotePrefix="1" applyFont="1" applyFill="1" applyBorder="1" applyAlignment="1">
      <alignment horizontal="center" vertical="center" wrapText="1"/>
    </xf>
    <xf numFmtId="3" fontId="89" fillId="2" borderId="1" xfId="12" applyNumberFormat="1" applyFont="1" applyFill="1" applyBorder="1" applyAlignment="1">
      <alignment horizontal="center" vertical="center" wrapText="1"/>
    </xf>
    <xf numFmtId="3" fontId="2" fillId="2" borderId="17" xfId="12" quotePrefix="1" applyNumberFormat="1" applyFont="1" applyFill="1" applyBorder="1" applyAlignment="1">
      <alignment horizontal="left" vertical="center" wrapText="1"/>
    </xf>
    <xf numFmtId="3" fontId="28" fillId="2" borderId="1" xfId="12" applyNumberFormat="1" applyFont="1" applyFill="1" applyBorder="1" applyAlignment="1">
      <alignment horizontal="center" vertical="center" wrapText="1"/>
    </xf>
    <xf numFmtId="3" fontId="20" fillId="2" borderId="18" xfId="12" applyNumberFormat="1" applyFont="1" applyFill="1" applyBorder="1" applyAlignment="1">
      <alignment horizontal="justify" vertical="center" wrapText="1"/>
    </xf>
    <xf numFmtId="3" fontId="20" fillId="2" borderId="18" xfId="12" quotePrefix="1" applyNumberFormat="1" applyFont="1" applyFill="1" applyBorder="1" applyAlignment="1">
      <alignment horizontal="center" vertical="center" wrapText="1"/>
    </xf>
    <xf numFmtId="3" fontId="20" fillId="2" borderId="18" xfId="12" quotePrefix="1" applyNumberFormat="1" applyFont="1" applyFill="1" applyBorder="1" applyAlignment="1">
      <alignment horizontal="right" vertical="center" wrapText="1"/>
    </xf>
    <xf numFmtId="165" fontId="3" fillId="2" borderId="1" xfId="0" applyNumberFormat="1" applyFont="1" applyFill="1" applyBorder="1" applyAlignment="1">
      <alignment vertical="center"/>
    </xf>
    <xf numFmtId="165" fontId="3" fillId="2" borderId="1" xfId="17" applyNumberFormat="1" applyFont="1" applyFill="1" applyBorder="1" applyAlignment="1">
      <alignment vertical="center"/>
    </xf>
    <xf numFmtId="165" fontId="90" fillId="2" borderId="1" xfId="17" quotePrefix="1" applyNumberFormat="1" applyFont="1" applyFill="1" applyBorder="1" applyAlignment="1">
      <alignment horizontal="right" vertical="center" wrapText="1"/>
    </xf>
    <xf numFmtId="37" fontId="3" fillId="2" borderId="1" xfId="17" applyNumberFormat="1" applyFont="1" applyFill="1" applyBorder="1" applyAlignment="1">
      <alignment vertical="center"/>
    </xf>
    <xf numFmtId="0" fontId="3" fillId="2" borderId="1" xfId="0" applyFont="1" applyFill="1" applyBorder="1" applyAlignment="1">
      <alignment horizontal="left" vertical="center"/>
    </xf>
    <xf numFmtId="165" fontId="3" fillId="2" borderId="1" xfId="0" applyNumberFormat="1" applyFont="1" applyFill="1" applyBorder="1" applyAlignment="1">
      <alignment horizontal="left" vertical="center"/>
    </xf>
    <xf numFmtId="3" fontId="95" fillId="2" borderId="1" xfId="12" quotePrefix="1" applyNumberFormat="1" applyFont="1" applyFill="1" applyBorder="1" applyAlignment="1">
      <alignment horizontal="left" vertical="center" wrapText="1"/>
    </xf>
    <xf numFmtId="165" fontId="68" fillId="2" borderId="1" xfId="0" applyNumberFormat="1" applyFont="1" applyFill="1" applyBorder="1" applyAlignment="1">
      <alignment vertical="center"/>
    </xf>
    <xf numFmtId="37" fontId="90" fillId="2" borderId="1" xfId="17" quotePrefix="1" applyNumberFormat="1" applyFont="1" applyFill="1" applyBorder="1" applyAlignment="1">
      <alignment horizontal="right" vertical="center" wrapText="1"/>
    </xf>
    <xf numFmtId="165" fontId="4" fillId="2" borderId="1" xfId="17" applyNumberFormat="1" applyFont="1" applyFill="1" applyBorder="1" applyAlignment="1">
      <alignment horizontal="right" vertical="center"/>
    </xf>
    <xf numFmtId="165" fontId="20" fillId="2" borderId="1" xfId="17" quotePrefix="1" applyNumberFormat="1" applyFont="1" applyFill="1" applyBorder="1" applyAlignment="1">
      <alignment horizontal="right" vertical="center" wrapText="1"/>
    </xf>
    <xf numFmtId="165" fontId="3" fillId="2" borderId="0" xfId="0" applyNumberFormat="1" applyFont="1" applyFill="1" applyAlignment="1">
      <alignment vertical="center"/>
    </xf>
    <xf numFmtId="165" fontId="3" fillId="2" borderId="0" xfId="17" applyNumberFormat="1" applyFont="1" applyFill="1" applyAlignment="1">
      <alignment vertical="center"/>
    </xf>
    <xf numFmtId="3" fontId="4" fillId="2" borderId="1" xfId="16" applyNumberFormat="1" applyFont="1" applyFill="1" applyBorder="1" applyAlignment="1">
      <alignment vertical="center"/>
    </xf>
    <xf numFmtId="3" fontId="4" fillId="0" borderId="1" xfId="16" applyNumberFormat="1" applyFont="1" applyBorder="1" applyAlignment="1">
      <alignment vertical="center"/>
    </xf>
    <xf numFmtId="3" fontId="4" fillId="0" borderId="1" xfId="0" applyNumberFormat="1" applyFont="1" applyBorder="1" applyAlignment="1">
      <alignment vertical="center"/>
    </xf>
    <xf numFmtId="0" fontId="17" fillId="0" borderId="6" xfId="16" applyFont="1" applyBorder="1" applyAlignment="1">
      <alignment horizontal="center" vertical="center" wrapText="1"/>
    </xf>
    <xf numFmtId="0" fontId="17" fillId="0" borderId="9" xfId="16" applyFont="1" applyBorder="1" applyAlignment="1">
      <alignment horizontal="center" vertical="center" wrapText="1"/>
    </xf>
    <xf numFmtId="49" fontId="17" fillId="0" borderId="6" xfId="16" applyNumberFormat="1" applyFont="1" applyBorder="1" applyAlignment="1">
      <alignment horizontal="center" vertical="center" wrapText="1"/>
    </xf>
    <xf numFmtId="49" fontId="17" fillId="0" borderId="9" xfId="16" applyNumberFormat="1" applyFont="1" applyBorder="1" applyAlignment="1">
      <alignment horizontal="center" vertical="center" wrapText="1"/>
    </xf>
    <xf numFmtId="3" fontId="17" fillId="0" borderId="6" xfId="16" applyNumberFormat="1" applyFont="1" applyBorder="1" applyAlignment="1">
      <alignment horizontal="center" vertical="center" wrapText="1"/>
    </xf>
    <xf numFmtId="3" fontId="17" fillId="0" borderId="9" xfId="16" applyNumberFormat="1" applyFont="1" applyBorder="1" applyAlignment="1">
      <alignment horizontal="center" vertical="center" wrapText="1"/>
    </xf>
    <xf numFmtId="0" fontId="12" fillId="0" borderId="0" xfId="16" applyFont="1" applyAlignment="1">
      <alignment horizontal="left" vertical="center"/>
    </xf>
    <xf numFmtId="0" fontId="17" fillId="0" borderId="0" xfId="16" applyFont="1" applyAlignment="1">
      <alignment horizontal="center" vertical="center"/>
    </xf>
    <xf numFmtId="0" fontId="22" fillId="0" borderId="0" xfId="16" applyFont="1" applyAlignment="1">
      <alignment horizontal="center" vertical="center"/>
    </xf>
    <xf numFmtId="0" fontId="12" fillId="2" borderId="0" xfId="11" applyFont="1" applyFill="1" applyAlignment="1">
      <alignment horizontal="left" vertical="center"/>
    </xf>
    <xf numFmtId="0" fontId="17" fillId="2" borderId="0" xfId="11" applyFont="1" applyFill="1" applyAlignment="1">
      <alignment horizontal="center" vertical="center"/>
    </xf>
    <xf numFmtId="0" fontId="38" fillId="2" borderId="0" xfId="11" applyFont="1" applyFill="1" applyAlignment="1">
      <alignment horizontal="center" vertical="center"/>
    </xf>
    <xf numFmtId="0" fontId="12" fillId="0" borderId="0" xfId="0" applyFont="1" applyAlignment="1">
      <alignment horizontal="right"/>
    </xf>
    <xf numFmtId="0" fontId="13" fillId="0" borderId="8" xfId="0" applyFont="1" applyBorder="1" applyAlignment="1">
      <alignment horizontal="right"/>
    </xf>
    <xf numFmtId="0" fontId="12" fillId="0" borderId="1" xfId="11" applyFont="1" applyBorder="1" applyAlignment="1">
      <alignment horizontal="center" vertical="center" wrapText="1"/>
    </xf>
    <xf numFmtId="3" fontId="12" fillId="0" borderId="1" xfId="11" applyNumberFormat="1" applyFont="1" applyBorder="1" applyAlignment="1">
      <alignment horizontal="center" vertical="center" wrapText="1"/>
    </xf>
    <xf numFmtId="0" fontId="17" fillId="0" borderId="0" xfId="0" applyFont="1" applyAlignment="1">
      <alignment horizontal="center"/>
    </xf>
    <xf numFmtId="0" fontId="16" fillId="0" borderId="1" xfId="11" applyFont="1" applyBorder="1" applyAlignment="1">
      <alignment horizontal="center" vertical="center" wrapText="1"/>
    </xf>
    <xf numFmtId="0" fontId="22" fillId="0" borderId="0" xfId="0" applyFont="1" applyAlignment="1">
      <alignment horizontal="center"/>
    </xf>
    <xf numFmtId="0" fontId="12" fillId="0" borderId="0" xfId="0" applyFont="1" applyAlignment="1">
      <alignment horizontal="left"/>
    </xf>
    <xf numFmtId="3" fontId="12" fillId="0" borderId="7" xfId="16" applyNumberFormat="1" applyFont="1" applyBorder="1" applyAlignment="1">
      <alignment horizontal="center" vertical="center" wrapText="1"/>
    </xf>
    <xf numFmtId="3" fontId="12" fillId="0" borderId="4" xfId="16" applyNumberFormat="1" applyFont="1" applyBorder="1" applyAlignment="1">
      <alignment horizontal="center" vertical="center" wrapText="1"/>
    </xf>
    <xf numFmtId="3" fontId="12" fillId="2" borderId="6" xfId="16" applyNumberFormat="1" applyFont="1" applyFill="1" applyBorder="1" applyAlignment="1">
      <alignment horizontal="center" vertical="center" wrapText="1"/>
    </xf>
    <xf numFmtId="3" fontId="12" fillId="2" borderId="9" xfId="16" applyNumberFormat="1" applyFont="1" applyFill="1" applyBorder="1" applyAlignment="1">
      <alignment horizontal="center" vertical="center" wrapText="1"/>
    </xf>
    <xf numFmtId="3" fontId="12" fillId="0" borderId="6" xfId="16" applyNumberFormat="1" applyFont="1" applyBorder="1" applyAlignment="1">
      <alignment horizontal="center" vertical="center" wrapText="1"/>
    </xf>
    <xf numFmtId="3" fontId="12" fillId="0" borderId="9" xfId="16" applyNumberFormat="1" applyFont="1" applyBorder="1" applyAlignment="1">
      <alignment horizontal="center" vertical="center" wrapText="1"/>
    </xf>
    <xf numFmtId="3" fontId="12" fillId="0" borderId="5" xfId="16" applyNumberFormat="1" applyFont="1" applyBorder="1" applyAlignment="1">
      <alignment horizontal="center" vertical="center" wrapText="1"/>
    </xf>
    <xf numFmtId="3" fontId="12" fillId="2" borderId="5" xfId="16" applyNumberFormat="1" applyFont="1" applyFill="1" applyBorder="1" applyAlignment="1">
      <alignment horizontal="center" vertical="center" wrapText="1"/>
    </xf>
    <xf numFmtId="0" fontId="38"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3" fontId="19" fillId="2" borderId="1" xfId="0" applyNumberFormat="1" applyFont="1" applyFill="1" applyBorder="1" applyAlignment="1">
      <alignment horizontal="center" vertical="center" wrapText="1"/>
    </xf>
    <xf numFmtId="0" fontId="12" fillId="2" borderId="0" xfId="0" applyFont="1" applyFill="1" applyAlignment="1">
      <alignment horizontal="left" vertical="center"/>
    </xf>
    <xf numFmtId="3" fontId="12" fillId="2" borderId="0" xfId="0" applyNumberFormat="1" applyFont="1" applyFill="1" applyAlignment="1">
      <alignment horizontal="right" vertical="center"/>
    </xf>
    <xf numFmtId="0" fontId="17" fillId="2" borderId="0" xfId="0" applyFont="1" applyFill="1" applyAlignment="1">
      <alignment horizontal="center" vertical="center" wrapText="1"/>
    </xf>
    <xf numFmtId="0" fontId="54" fillId="2" borderId="0" xfId="0" applyFont="1" applyFill="1" applyAlignment="1">
      <alignment horizontal="center" vertical="center" wrapText="1"/>
    </xf>
    <xf numFmtId="0" fontId="22" fillId="2" borderId="0" xfId="0" applyFont="1" applyFill="1" applyAlignment="1">
      <alignment horizontal="center" vertical="center"/>
    </xf>
    <xf numFmtId="0" fontId="55" fillId="2" borderId="0" xfId="0" applyFont="1" applyFill="1" applyAlignment="1">
      <alignment horizontal="center" vertical="center"/>
    </xf>
    <xf numFmtId="3" fontId="13" fillId="2" borderId="0" xfId="0" applyNumberFormat="1" applyFont="1" applyFill="1" applyAlignment="1">
      <alignment horizontal="right" vertical="center"/>
    </xf>
    <xf numFmtId="49" fontId="19" fillId="2" borderId="1" xfId="0" applyNumberFormat="1" applyFont="1" applyFill="1" applyBorder="1" applyAlignment="1">
      <alignment horizontal="center" vertical="center" wrapText="1"/>
    </xf>
    <xf numFmtId="3" fontId="101" fillId="2" borderId="1" xfId="0" applyNumberFormat="1" applyFont="1" applyFill="1" applyBorder="1" applyAlignment="1">
      <alignment horizontal="center" vertical="center" wrapText="1"/>
    </xf>
    <xf numFmtId="3" fontId="51" fillId="2" borderId="1" xfId="11" applyNumberFormat="1" applyFont="1" applyFill="1" applyBorder="1" applyAlignment="1">
      <alignment horizontal="center" vertical="center" wrapText="1"/>
    </xf>
    <xf numFmtId="3" fontId="50" fillId="2" borderId="1" xfId="11" applyNumberFormat="1" applyFont="1" applyFill="1" applyBorder="1" applyAlignment="1">
      <alignment horizontal="center" vertical="center" wrapText="1"/>
    </xf>
    <xf numFmtId="3" fontId="43" fillId="2" borderId="1" xfId="11" applyNumberFormat="1" applyFont="1" applyFill="1" applyBorder="1" applyAlignment="1">
      <alignment horizontal="center" vertical="center" wrapText="1"/>
    </xf>
    <xf numFmtId="0" fontId="43" fillId="2" borderId="1" xfId="11" applyFont="1" applyFill="1" applyBorder="1" applyAlignment="1">
      <alignment horizontal="center" vertical="center"/>
    </xf>
    <xf numFmtId="3" fontId="34" fillId="0" borderId="8" xfId="0" applyNumberFormat="1" applyFont="1" applyBorder="1" applyAlignment="1">
      <alignment horizontal="right" vertical="center"/>
    </xf>
    <xf numFmtId="0" fontId="39" fillId="0" borderId="0" xfId="0" applyFont="1" applyAlignment="1">
      <alignment horizontal="left" vertical="center"/>
    </xf>
    <xf numFmtId="0" fontId="41" fillId="0" borderId="0" xfId="11" applyFont="1" applyAlignment="1">
      <alignment horizontal="center" vertical="center" wrapText="1"/>
    </xf>
    <xf numFmtId="0" fontId="40" fillId="0" borderId="0" xfId="0" applyFont="1" applyAlignment="1">
      <alignment horizontal="center" vertical="center" wrapText="1"/>
    </xf>
    <xf numFmtId="0" fontId="42" fillId="0" borderId="0" xfId="11" applyFont="1" applyAlignment="1">
      <alignment horizontal="center" vertical="center"/>
    </xf>
    <xf numFmtId="3" fontId="48" fillId="0" borderId="0" xfId="11" applyNumberFormat="1" applyFont="1" applyAlignment="1">
      <alignment horizontal="right" vertical="center"/>
    </xf>
    <xf numFmtId="3" fontId="3" fillId="2" borderId="0" xfId="11" applyNumberFormat="1" applyFont="1" applyFill="1" applyAlignment="1">
      <alignment horizontal="right" vertical="center"/>
    </xf>
    <xf numFmtId="0" fontId="3" fillId="2" borderId="0" xfId="11" applyFont="1" applyFill="1" applyAlignment="1">
      <alignment horizontal="center" vertical="center" wrapText="1"/>
    </xf>
    <xf numFmtId="0" fontId="70" fillId="2" borderId="0" xfId="11" applyFont="1" applyFill="1" applyAlignment="1">
      <alignment horizontal="center" vertical="center"/>
    </xf>
    <xf numFmtId="3" fontId="70" fillId="2" borderId="0" xfId="11" applyNumberFormat="1" applyFont="1" applyFill="1" applyAlignment="1">
      <alignment horizontal="right" vertical="center"/>
    </xf>
    <xf numFmtId="3" fontId="3" fillId="2" borderId="1" xfId="11" applyNumberFormat="1" applyFont="1" applyFill="1" applyBorder="1" applyAlignment="1">
      <alignment horizontal="center" vertical="center" wrapText="1"/>
    </xf>
    <xf numFmtId="0" fontId="3" fillId="2" borderId="1" xfId="11" applyFont="1" applyFill="1" applyBorder="1" applyAlignment="1">
      <alignment horizontal="center" vertical="center"/>
    </xf>
    <xf numFmtId="0" fontId="19" fillId="2" borderId="1" xfId="11" applyFont="1" applyFill="1" applyBorder="1" applyAlignment="1">
      <alignment horizontal="center" vertical="center"/>
    </xf>
    <xf numFmtId="0" fontId="17" fillId="2" borderId="0" xfId="0" applyFont="1" applyFill="1" applyAlignment="1">
      <alignment horizontal="center" vertical="center"/>
    </xf>
    <xf numFmtId="0" fontId="54" fillId="2" borderId="0" xfId="0" applyFont="1" applyFill="1" applyAlignment="1">
      <alignment horizontal="center" vertical="center"/>
    </xf>
    <xf numFmtId="3" fontId="19" fillId="2" borderId="1" xfId="11" applyNumberFormat="1" applyFont="1" applyFill="1" applyBorder="1" applyAlignment="1">
      <alignment horizontal="center" vertical="center" wrapText="1"/>
    </xf>
    <xf numFmtId="3" fontId="13" fillId="2" borderId="8" xfId="0" applyNumberFormat="1" applyFont="1" applyFill="1" applyBorder="1" applyAlignment="1">
      <alignment horizontal="right" vertical="center"/>
    </xf>
    <xf numFmtId="3" fontId="12" fillId="0" borderId="7" xfId="0" applyNumberFormat="1" applyFont="1" applyBorder="1" applyAlignment="1">
      <alignment horizontal="center" vertical="center" wrapText="1"/>
    </xf>
    <xf numFmtId="3" fontId="12" fillId="0" borderId="3"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3" fontId="13" fillId="0" borderId="8" xfId="0" applyNumberFormat="1" applyFont="1" applyBorder="1" applyAlignment="1">
      <alignment horizontal="right" vertical="center"/>
    </xf>
    <xf numFmtId="3" fontId="36" fillId="0" borderId="0" xfId="11" applyNumberFormat="1" applyFont="1" applyAlignment="1">
      <alignment horizontal="right" vertical="center"/>
    </xf>
    <xf numFmtId="3" fontId="17" fillId="0" borderId="0" xfId="0" applyNumberFormat="1" applyFont="1" applyAlignment="1">
      <alignment horizontal="center" vertical="center"/>
    </xf>
    <xf numFmtId="0" fontId="12" fillId="0" borderId="0" xfId="0" applyFont="1" applyAlignment="1">
      <alignment horizontal="left" vertical="center"/>
    </xf>
    <xf numFmtId="0" fontId="22" fillId="0" borderId="0" xfId="11" applyFont="1" applyAlignment="1">
      <alignment horizontal="center" vertical="center"/>
    </xf>
    <xf numFmtId="0" fontId="12" fillId="0" borderId="1" xfId="0" applyFont="1" applyBorder="1" applyAlignment="1">
      <alignment horizontal="center" vertical="center" wrapText="1"/>
    </xf>
    <xf numFmtId="3" fontId="2" fillId="0" borderId="0" xfId="0" applyNumberFormat="1" applyFont="1" applyAlignment="1">
      <alignment horizontal="center" vertical="center"/>
    </xf>
    <xf numFmtId="0" fontId="21" fillId="0" borderId="0" xfId="11" applyFont="1" applyAlignment="1">
      <alignment horizontal="center" vertical="center"/>
    </xf>
    <xf numFmtId="0" fontId="28" fillId="0" borderId="0" xfId="0" applyFont="1" applyAlignment="1">
      <alignment horizontal="left" vertical="center"/>
    </xf>
    <xf numFmtId="0" fontId="3" fillId="0" borderId="0" xfId="0" applyFont="1" applyAlignment="1">
      <alignment horizontal="right" vertical="center"/>
    </xf>
    <xf numFmtId="3" fontId="3"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3" fillId="0" borderId="8" xfId="0" applyFont="1" applyBorder="1" applyAlignment="1">
      <alignment horizontal="right" vertical="center"/>
    </xf>
    <xf numFmtId="0" fontId="13" fillId="2" borderId="0" xfId="0" applyFont="1" applyFill="1" applyAlignment="1">
      <alignment horizontal="right" vertical="center"/>
    </xf>
    <xf numFmtId="0" fontId="17" fillId="0" borderId="0" xfId="0" applyFont="1" applyAlignment="1">
      <alignment horizontal="left" vertical="center"/>
    </xf>
    <xf numFmtId="0" fontId="17" fillId="2" borderId="0" xfId="0" applyFont="1" applyFill="1" applyAlignment="1">
      <alignment horizontal="right" vertical="center"/>
    </xf>
    <xf numFmtId="0" fontId="81" fillId="0" borderId="0" xfId="0" applyFont="1" applyAlignment="1">
      <alignment horizontal="center" vertical="center"/>
    </xf>
    <xf numFmtId="0" fontId="80" fillId="0" borderId="0" xfId="0" applyFont="1" applyAlignment="1">
      <alignment horizontal="center" vertical="center"/>
    </xf>
    <xf numFmtId="0" fontId="12" fillId="0" borderId="0" xfId="2" applyFont="1" applyAlignment="1">
      <alignment horizontal="center" vertical="center"/>
    </xf>
    <xf numFmtId="0" fontId="13" fillId="0" borderId="0" xfId="0" applyFont="1" applyAlignment="1">
      <alignment horizontal="center" vertical="center" wrapText="1"/>
    </xf>
    <xf numFmtId="0" fontId="13" fillId="0" borderId="0" xfId="2" applyFont="1" applyAlignment="1">
      <alignment horizontal="right"/>
    </xf>
    <xf numFmtId="0" fontId="12" fillId="2" borderId="6" xfId="2" applyFont="1" applyFill="1" applyBorder="1" applyAlignment="1">
      <alignment horizontal="center" vertical="center" wrapText="1"/>
    </xf>
    <xf numFmtId="0" fontId="12" fillId="2" borderId="5" xfId="2" applyFont="1" applyFill="1" applyBorder="1" applyAlignment="1">
      <alignment horizontal="center" vertical="center" wrapText="1"/>
    </xf>
    <xf numFmtId="0" fontId="12" fillId="2" borderId="12" xfId="2" applyFont="1" applyFill="1" applyBorder="1" applyAlignment="1">
      <alignment horizontal="center" vertical="center"/>
    </xf>
    <xf numFmtId="0" fontId="12" fillId="2" borderId="15" xfId="2" applyFont="1" applyFill="1" applyBorder="1" applyAlignment="1">
      <alignment horizontal="center" vertical="center"/>
    </xf>
    <xf numFmtId="0" fontId="12" fillId="2" borderId="7" xfId="2" applyFont="1" applyFill="1" applyBorder="1" applyAlignment="1">
      <alignment horizontal="center" vertical="center" wrapText="1"/>
    </xf>
    <xf numFmtId="0" fontId="12" fillId="2" borderId="4" xfId="2" applyFont="1" applyFill="1" applyBorder="1" applyAlignment="1">
      <alignment horizontal="center" vertical="center" wrapText="1"/>
    </xf>
    <xf numFmtId="0" fontId="12" fillId="2" borderId="7" xfId="2" applyFont="1" applyFill="1" applyBorder="1" applyAlignment="1">
      <alignment horizontal="center" vertical="center"/>
    </xf>
    <xf numFmtId="0" fontId="60" fillId="2" borderId="3" xfId="0" applyFont="1" applyFill="1" applyBorder="1"/>
    <xf numFmtId="0" fontId="60" fillId="2" borderId="4" xfId="0" applyFont="1" applyFill="1" applyBorder="1"/>
    <xf numFmtId="0" fontId="16" fillId="2" borderId="6"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4" xfId="2" applyFont="1" applyFill="1" applyBorder="1" applyAlignment="1">
      <alignment horizontal="center" vertical="center" wrapText="1"/>
    </xf>
    <xf numFmtId="3" fontId="12" fillId="2" borderId="10" xfId="2" applyNumberFormat="1" applyFont="1" applyFill="1" applyBorder="1" applyAlignment="1">
      <alignment horizontal="center" vertical="center"/>
    </xf>
    <xf numFmtId="3" fontId="12" fillId="2" borderId="11" xfId="2" applyNumberFormat="1" applyFont="1" applyFill="1" applyBorder="1" applyAlignment="1">
      <alignment horizontal="center" vertical="center"/>
    </xf>
    <xf numFmtId="3" fontId="12" fillId="2" borderId="12" xfId="2" applyNumberFormat="1" applyFont="1" applyFill="1" applyBorder="1" applyAlignment="1">
      <alignment horizontal="center" vertical="center"/>
    </xf>
    <xf numFmtId="3" fontId="12" fillId="2" borderId="19" xfId="2" applyNumberFormat="1" applyFont="1" applyFill="1" applyBorder="1" applyAlignment="1">
      <alignment horizontal="center" vertical="center"/>
    </xf>
    <xf numFmtId="3" fontId="12" fillId="2" borderId="0" xfId="2" applyNumberFormat="1" applyFont="1" applyFill="1" applyAlignment="1">
      <alignment horizontal="center" vertical="center"/>
    </xf>
    <xf numFmtId="3" fontId="12" fillId="2" borderId="15" xfId="2" applyNumberFormat="1" applyFont="1" applyFill="1" applyBorder="1" applyAlignment="1">
      <alignment horizontal="center" vertical="center"/>
    </xf>
    <xf numFmtId="3" fontId="12" fillId="2" borderId="13" xfId="2" applyNumberFormat="1" applyFont="1" applyFill="1" applyBorder="1" applyAlignment="1">
      <alignment horizontal="center" vertical="center"/>
    </xf>
    <xf numFmtId="3" fontId="12" fillId="2" borderId="8" xfId="2" applyNumberFormat="1" applyFont="1" applyFill="1" applyBorder="1" applyAlignment="1">
      <alignment horizontal="center" vertical="center"/>
    </xf>
    <xf numFmtId="3" fontId="12" fillId="2" borderId="14" xfId="2" applyNumberFormat="1" applyFont="1" applyFill="1" applyBorder="1" applyAlignment="1">
      <alignment horizontal="center" vertical="center"/>
    </xf>
    <xf numFmtId="3" fontId="63" fillId="0" borderId="0" xfId="11" applyNumberFormat="1" applyFont="1" applyAlignment="1">
      <alignment horizontal="right" vertical="center"/>
    </xf>
    <xf numFmtId="3" fontId="12" fillId="0" borderId="10" xfId="12" applyNumberFormat="1" applyFont="1" applyBorder="1" applyAlignment="1">
      <alignment horizontal="center" vertical="center" wrapText="1"/>
    </xf>
    <xf numFmtId="3" fontId="12" fillId="0" borderId="11" xfId="12" applyNumberFormat="1" applyFont="1" applyBorder="1" applyAlignment="1">
      <alignment horizontal="center" vertical="center" wrapText="1"/>
    </xf>
    <xf numFmtId="3" fontId="12" fillId="0" borderId="12" xfId="12" applyNumberFormat="1" applyFont="1" applyBorder="1" applyAlignment="1">
      <alignment horizontal="center" vertical="center" wrapText="1"/>
    </xf>
    <xf numFmtId="3" fontId="12" fillId="0" borderId="13" xfId="12" applyNumberFormat="1" applyFont="1" applyBorder="1" applyAlignment="1">
      <alignment horizontal="center" vertical="center" wrapText="1"/>
    </xf>
    <xf numFmtId="3" fontId="12" fillId="0" borderId="8" xfId="12" applyNumberFormat="1" applyFont="1" applyBorder="1" applyAlignment="1">
      <alignment horizontal="center" vertical="center" wrapText="1"/>
    </xf>
    <xf numFmtId="3" fontId="12" fillId="0" borderId="14" xfId="12" applyNumberFormat="1" applyFont="1" applyBorder="1" applyAlignment="1">
      <alignment horizontal="center" vertical="center" wrapText="1"/>
    </xf>
    <xf numFmtId="3" fontId="39" fillId="0" borderId="6" xfId="12" applyNumberFormat="1" applyFont="1" applyBorder="1" applyAlignment="1">
      <alignment horizontal="center" vertical="center" wrapText="1"/>
    </xf>
    <xf numFmtId="3" fontId="39" fillId="0" borderId="5" xfId="12" applyNumberFormat="1" applyFont="1" applyBorder="1" applyAlignment="1">
      <alignment horizontal="center" vertical="center" wrapText="1"/>
    </xf>
    <xf numFmtId="3" fontId="39" fillId="0" borderId="9" xfId="12" applyNumberFormat="1" applyFont="1" applyBorder="1" applyAlignment="1">
      <alignment horizontal="center" vertical="center" wrapText="1"/>
    </xf>
    <xf numFmtId="3" fontId="39" fillId="0" borderId="7" xfId="12" applyNumberFormat="1" applyFont="1" applyBorder="1" applyAlignment="1">
      <alignment horizontal="center" vertical="center" wrapText="1"/>
    </xf>
    <xf numFmtId="3" fontId="39" fillId="0" borderId="3" xfId="12" applyNumberFormat="1" applyFont="1" applyBorder="1" applyAlignment="1">
      <alignment horizontal="center" vertical="center" wrapText="1"/>
    </xf>
    <xf numFmtId="3" fontId="39" fillId="0" borderId="4" xfId="12" applyNumberFormat="1" applyFont="1" applyBorder="1" applyAlignment="1">
      <alignment horizontal="center" vertical="center" wrapText="1"/>
    </xf>
    <xf numFmtId="3" fontId="39" fillId="0" borderId="10" xfId="12" applyNumberFormat="1" applyFont="1" applyBorder="1" applyAlignment="1">
      <alignment horizontal="center" vertical="center" wrapText="1"/>
    </xf>
    <xf numFmtId="3" fontId="39" fillId="0" borderId="11" xfId="12" applyNumberFormat="1" applyFont="1" applyBorder="1" applyAlignment="1">
      <alignment horizontal="center" vertical="center" wrapText="1"/>
    </xf>
    <xf numFmtId="3" fontId="39" fillId="0" borderId="12" xfId="12" applyNumberFormat="1" applyFont="1" applyBorder="1" applyAlignment="1">
      <alignment horizontal="center" vertical="center" wrapText="1"/>
    </xf>
    <xf numFmtId="3" fontId="39" fillId="0" borderId="13" xfId="12" applyNumberFormat="1" applyFont="1" applyBorder="1" applyAlignment="1">
      <alignment horizontal="center" vertical="center" wrapText="1"/>
    </xf>
    <xf numFmtId="3" fontId="39" fillId="0" borderId="8" xfId="12" applyNumberFormat="1" applyFont="1" applyBorder="1" applyAlignment="1">
      <alignment horizontal="center" vertical="center" wrapText="1"/>
    </xf>
    <xf numFmtId="3" fontId="39" fillId="0" borderId="14" xfId="12" applyNumberFormat="1" applyFont="1" applyBorder="1" applyAlignment="1">
      <alignment horizontal="center" vertical="center" wrapText="1"/>
    </xf>
    <xf numFmtId="1" fontId="64" fillId="0" borderId="0" xfId="12" applyNumberFormat="1" applyFont="1" applyAlignment="1">
      <alignment horizontal="center" vertical="center" wrapText="1"/>
    </xf>
    <xf numFmtId="1" fontId="65" fillId="0" borderId="0" xfId="12" applyNumberFormat="1" applyFont="1" applyAlignment="1">
      <alignment horizontal="center" vertical="center" wrapText="1"/>
    </xf>
    <xf numFmtId="3" fontId="39" fillId="0" borderId="1" xfId="12" applyNumberFormat="1" applyFont="1" applyBorder="1" applyAlignment="1">
      <alignment horizontal="center" vertical="center" wrapText="1"/>
    </xf>
    <xf numFmtId="3" fontId="42" fillId="0" borderId="8" xfId="12" applyNumberFormat="1" applyFont="1" applyBorder="1" applyAlignment="1">
      <alignment horizontal="right" vertical="center"/>
    </xf>
    <xf numFmtId="3" fontId="39" fillId="0" borderId="1" xfId="12" applyNumberFormat="1" applyFont="1" applyBorder="1" applyAlignment="1">
      <alignment horizontal="center" vertical="center"/>
    </xf>
    <xf numFmtId="3" fontId="3" fillId="2" borderId="1" xfId="0" applyNumberFormat="1" applyFont="1" applyFill="1" applyBorder="1" applyAlignment="1">
      <alignment horizontal="center" vertical="center" wrapText="1"/>
    </xf>
    <xf numFmtId="3" fontId="3" fillId="2" borderId="1" xfId="12" applyNumberFormat="1" applyFont="1" applyFill="1" applyBorder="1" applyAlignment="1">
      <alignment horizontal="center" vertical="center" wrapText="1"/>
    </xf>
    <xf numFmtId="0" fontId="3" fillId="2" borderId="0" xfId="0" applyFont="1" applyFill="1" applyAlignment="1">
      <alignment horizontal="center" vertical="center"/>
    </xf>
    <xf numFmtId="3" fontId="69" fillId="2" borderId="0" xfId="11" applyNumberFormat="1" applyFont="1" applyFill="1" applyAlignment="1">
      <alignment horizontal="center" vertical="center"/>
    </xf>
    <xf numFmtId="1" fontId="3" fillId="2" borderId="0" xfId="12" applyNumberFormat="1" applyFont="1" applyFill="1" applyAlignment="1">
      <alignment horizontal="center" vertical="center" wrapText="1"/>
    </xf>
    <xf numFmtId="1" fontId="70" fillId="2" borderId="0" xfId="12" applyNumberFormat="1" applyFont="1" applyFill="1" applyAlignment="1">
      <alignment horizontal="center" vertical="center" wrapText="1"/>
    </xf>
    <xf numFmtId="3" fontId="68" fillId="2" borderId="8" xfId="11" applyNumberFormat="1" applyFont="1" applyFill="1" applyBorder="1" applyAlignment="1">
      <alignment horizontal="right" vertical="center"/>
    </xf>
    <xf numFmtId="3" fontId="4" fillId="2" borderId="1" xfId="12" applyNumberFormat="1" applyFont="1" applyFill="1" applyBorder="1" applyAlignment="1">
      <alignment horizontal="center" vertical="center" wrapText="1"/>
    </xf>
  </cellXfs>
  <cellStyles count="30">
    <cellStyle name="Comma" xfId="13" builtinId="3"/>
    <cellStyle name="Comma 10" xfId="8" xr:uid="{00000000-0005-0000-0000-000001000000}"/>
    <cellStyle name="Comma 10 10" xfId="21" xr:uid="{00000000-0005-0000-0000-000002000000}"/>
    <cellStyle name="Comma 12" xfId="19" xr:uid="{00000000-0005-0000-0000-000003000000}"/>
    <cellStyle name="Comma 2 6" xfId="17" xr:uid="{00000000-0005-0000-0000-000004000000}"/>
    <cellStyle name="Comma 21" xfId="7" xr:uid="{00000000-0005-0000-0000-000005000000}"/>
    <cellStyle name="Comma 5" xfId="5" xr:uid="{00000000-0005-0000-0000-000006000000}"/>
    <cellStyle name="Comma 5 21 2 3 3" xfId="26" xr:uid="{CB366BE7-E2F9-4B0C-9CCA-60C87BDF2A36}"/>
    <cellStyle name="Comma 6" xfId="1" xr:uid="{00000000-0005-0000-0000-000007000000}"/>
    <cellStyle name="Comma 7 2" xfId="27" xr:uid="{969AE198-9F97-4B65-8008-44857A4AD833}"/>
    <cellStyle name="Comma_bieu sua theo yeu cau" xfId="28" xr:uid="{C9BD6449-4BDC-499F-8953-680773586359}"/>
    <cellStyle name="Ledger 17 x 11 in" xfId="10" xr:uid="{00000000-0005-0000-0000-000008000000}"/>
    <cellStyle name="Ledger 17 x 11 in 2 2 2 2" xfId="24" xr:uid="{87B38A47-40D4-4680-867F-9B45364C7BE8}"/>
    <cellStyle name="Normal" xfId="0" builtinId="0"/>
    <cellStyle name="Normal 10 6" xfId="20" xr:uid="{00000000-0005-0000-0000-00000A000000}"/>
    <cellStyle name="Normal 11" xfId="4" xr:uid="{00000000-0005-0000-0000-00000B000000}"/>
    <cellStyle name="Normal 13" xfId="14" xr:uid="{00000000-0005-0000-0000-00000C000000}"/>
    <cellStyle name="Normal 17" xfId="6" xr:uid="{00000000-0005-0000-0000-00000D000000}"/>
    <cellStyle name="Normal 2" xfId="2" xr:uid="{00000000-0005-0000-0000-00000E000000}"/>
    <cellStyle name="Normal 2 2 33" xfId="25" xr:uid="{0CEFA241-8B20-41CE-A242-C16AEB4F5DD3}"/>
    <cellStyle name="Normal 3" xfId="3" xr:uid="{00000000-0005-0000-0000-00000F000000}"/>
    <cellStyle name="Normal 4" xfId="9" xr:uid="{00000000-0005-0000-0000-000010000000}"/>
    <cellStyle name="Normal 4 4" xfId="23" xr:uid="{00000000-0005-0000-0000-000011000000}"/>
    <cellStyle name="Normal 5" xfId="11" xr:uid="{00000000-0005-0000-0000-000012000000}"/>
    <cellStyle name="Normal 6" xfId="15" xr:uid="{00000000-0005-0000-0000-000013000000}"/>
    <cellStyle name="Normal 7" xfId="16" xr:uid="{00000000-0005-0000-0000-000014000000}"/>
    <cellStyle name="Normal_Bieu mau (CV )" xfId="12" xr:uid="{00000000-0005-0000-0000-000015000000}"/>
    <cellStyle name="Percent 10" xfId="22" xr:uid="{00000000-0005-0000-0000-000016000000}"/>
    <cellStyle name="Percent 2" xfId="18" xr:uid="{00000000-0005-0000-0000-000017000000}"/>
    <cellStyle name="Percent 4" xfId="29" xr:uid="{43E2676F-30DC-4EE6-982D-5492109DEC18}"/>
  </cellStyles>
  <dxfs count="103">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00FFFF"/>
      <color rgb="FF00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24848</xdr:colOff>
      <xdr:row>240</xdr:row>
      <xdr:rowOff>0</xdr:rowOff>
    </xdr:from>
    <xdr:ext cx="114300" cy="501063"/>
    <xdr:sp macro="" textlink="">
      <xdr:nvSpPr>
        <xdr:cNvPr id="2" name="Text Box 26">
          <a:extLst>
            <a:ext uri="{FF2B5EF4-FFF2-40B4-BE49-F238E27FC236}">
              <a16:creationId xmlns:a16="http://schemas.microsoft.com/office/drawing/2014/main" id="{3CB61B1A-E849-4B8C-AD11-C2FDCA85572F}"/>
            </a:ext>
          </a:extLst>
        </xdr:cNvPr>
        <xdr:cNvSpPr txBox="1">
          <a:spLocks noChangeArrowheads="1"/>
        </xdr:cNvSpPr>
      </xdr:nvSpPr>
      <xdr:spPr bwMode="auto">
        <a:xfrm>
          <a:off x="4225373" y="220170375"/>
          <a:ext cx="114300" cy="5010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24848</xdr:colOff>
      <xdr:row>240</xdr:row>
      <xdr:rowOff>0</xdr:rowOff>
    </xdr:from>
    <xdr:ext cx="114300" cy="501063"/>
    <xdr:sp macro="" textlink="">
      <xdr:nvSpPr>
        <xdr:cNvPr id="3" name="Text Box 26">
          <a:extLst>
            <a:ext uri="{FF2B5EF4-FFF2-40B4-BE49-F238E27FC236}">
              <a16:creationId xmlns:a16="http://schemas.microsoft.com/office/drawing/2014/main" id="{BF8C181A-EE51-406E-AF11-E27DD3DCBF5C}"/>
            </a:ext>
          </a:extLst>
        </xdr:cNvPr>
        <xdr:cNvSpPr txBox="1">
          <a:spLocks noChangeArrowheads="1"/>
        </xdr:cNvSpPr>
      </xdr:nvSpPr>
      <xdr:spPr bwMode="auto">
        <a:xfrm>
          <a:off x="4225373" y="220170375"/>
          <a:ext cx="114300" cy="5010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24848</xdr:colOff>
      <xdr:row>249</xdr:row>
      <xdr:rowOff>0</xdr:rowOff>
    </xdr:from>
    <xdr:ext cx="114300" cy="501063"/>
    <xdr:sp macro="" textlink="">
      <xdr:nvSpPr>
        <xdr:cNvPr id="4" name="Text Box 26">
          <a:extLst>
            <a:ext uri="{FF2B5EF4-FFF2-40B4-BE49-F238E27FC236}">
              <a16:creationId xmlns:a16="http://schemas.microsoft.com/office/drawing/2014/main" id="{199C8490-2E29-4965-B6E2-A3E64A5189B2}"/>
            </a:ext>
          </a:extLst>
        </xdr:cNvPr>
        <xdr:cNvSpPr txBox="1">
          <a:spLocks noChangeArrowheads="1"/>
        </xdr:cNvSpPr>
      </xdr:nvSpPr>
      <xdr:spPr bwMode="auto">
        <a:xfrm>
          <a:off x="4200525" y="228771450"/>
          <a:ext cx="114300" cy="5010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24848</xdr:colOff>
      <xdr:row>249</xdr:row>
      <xdr:rowOff>0</xdr:rowOff>
    </xdr:from>
    <xdr:ext cx="114300" cy="501063"/>
    <xdr:sp macro="" textlink="">
      <xdr:nvSpPr>
        <xdr:cNvPr id="5" name="Text Box 26">
          <a:extLst>
            <a:ext uri="{FF2B5EF4-FFF2-40B4-BE49-F238E27FC236}">
              <a16:creationId xmlns:a16="http://schemas.microsoft.com/office/drawing/2014/main" id="{916CA329-1290-4BFB-96BB-BA79B310B508}"/>
            </a:ext>
          </a:extLst>
        </xdr:cNvPr>
        <xdr:cNvSpPr txBox="1">
          <a:spLocks noChangeArrowheads="1"/>
        </xdr:cNvSpPr>
      </xdr:nvSpPr>
      <xdr:spPr bwMode="auto">
        <a:xfrm>
          <a:off x="4200525" y="228771450"/>
          <a:ext cx="114300" cy="5010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24848</xdr:colOff>
      <xdr:row>249</xdr:row>
      <xdr:rowOff>0</xdr:rowOff>
    </xdr:from>
    <xdr:ext cx="114300" cy="501063"/>
    <xdr:sp macro="" textlink="">
      <xdr:nvSpPr>
        <xdr:cNvPr id="6" name="Text Box 26">
          <a:extLst>
            <a:ext uri="{FF2B5EF4-FFF2-40B4-BE49-F238E27FC236}">
              <a16:creationId xmlns:a16="http://schemas.microsoft.com/office/drawing/2014/main" id="{388EF161-8096-482A-97D6-B071AC1E476F}"/>
            </a:ext>
          </a:extLst>
        </xdr:cNvPr>
        <xdr:cNvSpPr txBox="1">
          <a:spLocks noChangeArrowheads="1"/>
        </xdr:cNvSpPr>
      </xdr:nvSpPr>
      <xdr:spPr bwMode="auto">
        <a:xfrm>
          <a:off x="4225373" y="228771450"/>
          <a:ext cx="114300" cy="5010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24848</xdr:colOff>
      <xdr:row>249</xdr:row>
      <xdr:rowOff>0</xdr:rowOff>
    </xdr:from>
    <xdr:ext cx="114300" cy="501063"/>
    <xdr:sp macro="" textlink="">
      <xdr:nvSpPr>
        <xdr:cNvPr id="7" name="Text Box 26">
          <a:extLst>
            <a:ext uri="{FF2B5EF4-FFF2-40B4-BE49-F238E27FC236}">
              <a16:creationId xmlns:a16="http://schemas.microsoft.com/office/drawing/2014/main" id="{B6FA1C73-2337-4833-8727-1E85B0DAEDF5}"/>
            </a:ext>
          </a:extLst>
        </xdr:cNvPr>
        <xdr:cNvSpPr txBox="1">
          <a:spLocks noChangeArrowheads="1"/>
        </xdr:cNvSpPr>
      </xdr:nvSpPr>
      <xdr:spPr bwMode="auto">
        <a:xfrm>
          <a:off x="4225373" y="228771450"/>
          <a:ext cx="114300" cy="5010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TC\AppData\Local\Temp\Rar$DIa0.433\12-12%20Bi&#7875;u%20UBND%20t&#7881;nh%20giao%20d&#7921;%20to&#225;n%20thu%20chi%20NSDP%20n&#259;m%202026%20(Ch&#237;nh%20th&#7913;c).xlsx" TargetMode="External"/><Relationship Id="rId1" Type="http://schemas.openxmlformats.org/officeDocument/2006/relationships/externalLinkPath" Target="/Users/STC/AppData/Local/Temp/Rar$DIa0.433/12-12%20Bi&#7875;u%20UBND%20t&#7881;nh%20giao%20d&#7921;%20to&#225;n%20thu%20chi%20NSDP%20n&#259;m%202026%20(Ch&#237;nh%20th&#7913;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258;M%202023\2024\Cong%20khai\C&#212;NG%20KHAI%20N&#258;M%202024\C&#212;NG%20KHAI%20D&#7920;%20TO&#193;N%202025\D&#7920;%20TO&#193;N%20TR&#204;NH%20H&#272;ND%202025\Du%20toan%20trinh%20HDND%202025\12.%20PL%20kem%20theo%20TB%20cong%20khai%20du%20toan%20trinh%20HDND%20202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TC\AppData\Local\Temp\Rar$DIa0.716\12-12%20Bi&#7875;u%20UBND%20t&#7881;nh%20giao%20d&#7921;%20to&#225;n%20thu%20chi%20NSDP%20n&#259;m%202026%20(Ch&#237;nh%20th&#7913;c).xlsx" TargetMode="External"/><Relationship Id="rId1" Type="http://schemas.openxmlformats.org/officeDocument/2006/relationships/externalLinkPath" Target="/Users/STC/AppData/Local/Temp/Rar$DIa0.716/12-12%20Bi&#7875;u%20UBND%20t&#7881;nh%20giao%20d&#7921;%20to&#225;n%20thu%20chi%20NSDP%20n&#259;m%202026%20(Ch&#237;nh%20th&#7913;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258;M%202023\2025\02.%20D&#7920;%20TO&#193;N%202025\Du%20toan%202025\QD%20giao%20du%20toan%202025%20(dia%20phuong)\12-10%20Quy&#7871;t%20&#273;&#7883;nh%20giao%20d&#7921;%20to&#225;n%20thu%20chi%20NSDP%20n&#259;m%202025%20(khoi%20tinh%202536.%20Q&#272;-UBN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258;M%202023\2025\02.%20D&#7920;%20TO&#193;N%202025\02.%20K&#7871;%20ho&#7841;ch%20v&#7889;n%202025\3.12.%20NST%202025.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N&#258;M%202023\2025\01.%20%20%20%20%20%20%20%20%20%20%20%20%20%20%20%20%20C&#212;NG%20KHAI%202025\2026\DT%20UBND%20tinh%20QD\12.31%20PL%20kem%20theo%20cong%20khai%20du%20toan%20UBND%20tinh%20quyet%20dinh%202025%20(TC&#272;T).xlsx" TargetMode="External"/><Relationship Id="rId1" Type="http://schemas.openxmlformats.org/officeDocument/2006/relationships/externalLinkPath" Target="file:///E:\N&#258;M%202023\2025\01.%20%20%20%20%20%20%20%20%20%20%20%20%20%20%20%20%20C&#212;NG%20KHAI%202025\2026\DT%20UBND%20tinh%20QD\12.31%20PL%20kem%20theo%20cong%20khai%20du%20toan%20UBND%20tinh%20quyet%20dinh%202025%20(TC&#272;T).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D:\2026\NQ,%20Q&#272;%20giao%20v&#7889;n%20&#273;&#7847;u%20t&#432;%20c&#244;ng%202026\Q&#272;%202339%20giao%20v&#7889;n%20&#273;&#7907;t%201\Q&#272;%202339%20UBND%20(18.12.2025)%20&#272;TC%202026%20-%20Copy.xlsx" TargetMode="External"/><Relationship Id="rId1" Type="http://schemas.openxmlformats.org/officeDocument/2006/relationships/externalLinkPath" Target="file:///D:\2026\NQ,%20Q&#272;%20giao%20v&#7889;n%20&#273;&#7847;u%20t&#432;%20c&#244;ng%202026\Q&#272;%202339%20giao%20v&#7889;n%20&#273;&#7907;t%201\Q&#272;%202339%20UBND%20(18.12.2025)%20&#272;TC%202026%20-%20Cop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Bi&#7875;u%20C&#244;ng%20khai%20g&#7917;i%20NS-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ngatang"/>
      <sheetName val="Cân đối NSĐP 2026 (PL 01)"/>
      <sheetName val="Cân đối NS tỉnh 2026(PL 02)"/>
      <sheetName val="Thu NSDP 2026 (PL 03)"/>
      <sheetName val="Chi NSDP 2026 (PL 04)"/>
      <sheetName val="Chi thường xuyên 2026 (PL 05)"/>
      <sheetName val="Thu sự nghiệp 2026 (PL 06)"/>
      <sheetName val="Thu NS xã (PL 7)"/>
      <sheetName val="Chi NS xã (PL 8)"/>
      <sheetName val="BS cân đối NS xã (PL 9)"/>
      <sheetName val="BS mục tiêu xã (PL 10)"/>
      <sheetName val="Vay trả nợ 2025 (PL 11)"/>
      <sheetName val="Thu chi 2026-2028 (PL 12)"/>
      <sheetName val="Quỹ tài chính 2025 (PL 13)"/>
    </sheetNames>
    <sheetDataSet>
      <sheetData sheetId="0" refreshError="1"/>
      <sheetData sheetId="1">
        <row r="13">
          <cell r="C13">
            <v>9768300.0999999996</v>
          </cell>
        </row>
        <row r="14">
          <cell r="C14">
            <v>9226250</v>
          </cell>
        </row>
        <row r="16">
          <cell r="C16">
            <v>12789361</v>
          </cell>
        </row>
        <row r="17">
          <cell r="C17">
            <v>6707716</v>
          </cell>
        </row>
        <row r="18">
          <cell r="C18">
            <v>472640</v>
          </cell>
        </row>
        <row r="21">
          <cell r="C21">
            <v>10500600</v>
          </cell>
        </row>
        <row r="22">
          <cell r="C22">
            <v>26269385.74673662</v>
          </cell>
        </row>
        <row r="23">
          <cell r="C23">
            <v>43200</v>
          </cell>
        </row>
        <row r="24">
          <cell r="C24">
            <v>2300</v>
          </cell>
        </row>
        <row r="25">
          <cell r="C25">
            <v>675045</v>
          </cell>
        </row>
        <row r="26">
          <cell r="C26">
            <v>866563.2</v>
          </cell>
        </row>
        <row r="27">
          <cell r="C27">
            <v>120000</v>
          </cell>
        </row>
        <row r="30">
          <cell r="C30">
            <v>404373</v>
          </cell>
        </row>
        <row r="31">
          <cell r="C31">
            <v>114000</v>
          </cell>
        </row>
        <row r="32">
          <cell r="C32">
            <v>31199.846736617386</v>
          </cell>
        </row>
        <row r="34">
          <cell r="C34">
            <v>122500</v>
          </cell>
        </row>
        <row r="35">
          <cell r="C35">
            <v>26537</v>
          </cell>
        </row>
        <row r="37">
          <cell r="C37">
            <v>31199.846736617386</v>
          </cell>
        </row>
        <row r="38">
          <cell r="C38">
            <v>122500</v>
          </cell>
        </row>
      </sheetData>
      <sheetData sheetId="2">
        <row r="13">
          <cell r="C13">
            <v>14608971</v>
          </cell>
        </row>
        <row r="15">
          <cell r="C15">
            <v>12789361</v>
          </cell>
        </row>
        <row r="16">
          <cell r="C16">
            <v>3340399</v>
          </cell>
        </row>
        <row r="17">
          <cell r="C17">
            <v>3367317</v>
          </cell>
        </row>
        <row r="18">
          <cell r="C18">
            <v>472640</v>
          </cell>
        </row>
        <row r="20">
          <cell r="C20">
            <v>21306505.500601888</v>
          </cell>
        </row>
        <row r="21">
          <cell r="C21">
            <v>518373</v>
          </cell>
        </row>
        <row r="22">
          <cell r="C22">
            <v>675045</v>
          </cell>
        </row>
        <row r="24">
          <cell r="C24">
            <v>8279263.4573942097</v>
          </cell>
        </row>
        <row r="25">
          <cell r="C25">
            <v>2797212.2180831325</v>
          </cell>
        </row>
        <row r="26">
          <cell r="C26">
            <v>1033488.4</v>
          </cell>
        </row>
        <row r="30">
          <cell r="C30">
            <v>4385579.05</v>
          </cell>
        </row>
        <row r="32">
          <cell r="C32">
            <v>8279263.4573942097</v>
          </cell>
        </row>
        <row r="33">
          <cell r="C33">
            <v>2797212.2180831325</v>
          </cell>
        </row>
        <row r="34">
          <cell r="C34">
            <v>1033488.2824799995</v>
          </cell>
        </row>
        <row r="36">
          <cell r="C36">
            <v>15462055.283247408</v>
          </cell>
        </row>
        <row r="37">
          <cell r="C37">
            <v>1033488</v>
          </cell>
        </row>
      </sheetData>
      <sheetData sheetId="3">
        <row r="10">
          <cell r="C10">
            <v>880000</v>
          </cell>
          <cell r="D10">
            <v>1182700</v>
          </cell>
        </row>
        <row r="11">
          <cell r="C11">
            <v>1100000</v>
          </cell>
          <cell r="D11">
            <v>1217300</v>
          </cell>
        </row>
        <row r="13">
          <cell r="C13">
            <v>240000</v>
          </cell>
          <cell r="D13">
            <v>245500</v>
          </cell>
        </row>
        <row r="14">
          <cell r="C14">
            <v>90000</v>
          </cell>
          <cell r="D14">
            <v>99500</v>
          </cell>
        </row>
        <row r="16">
          <cell r="C16">
            <v>223000</v>
          </cell>
          <cell r="D16">
            <v>242500</v>
          </cell>
        </row>
        <row r="17">
          <cell r="C17">
            <v>76000</v>
          </cell>
          <cell r="D17">
            <v>77000</v>
          </cell>
        </row>
        <row r="18">
          <cell r="C18">
            <v>91000</v>
          </cell>
          <cell r="D18">
            <v>100500</v>
          </cell>
        </row>
        <row r="20">
          <cell r="C20">
            <v>2668000</v>
          </cell>
          <cell r="D20">
            <v>2943700</v>
          </cell>
        </row>
        <row r="21">
          <cell r="C21">
            <v>950000</v>
          </cell>
          <cell r="D21">
            <v>1006300</v>
          </cell>
        </row>
        <row r="22">
          <cell r="C22">
            <v>530000</v>
          </cell>
          <cell r="D22">
            <v>600000</v>
          </cell>
        </row>
        <row r="23">
          <cell r="C23">
            <v>50</v>
          </cell>
          <cell r="D23">
            <v>50</v>
          </cell>
        </row>
        <row r="24">
          <cell r="C24">
            <v>22400</v>
          </cell>
          <cell r="D24">
            <v>22400</v>
          </cell>
        </row>
        <row r="25">
          <cell r="C25">
            <v>750000</v>
          </cell>
          <cell r="D25">
            <v>800000</v>
          </cell>
        </row>
        <row r="27">
          <cell r="C27">
            <v>111200</v>
          </cell>
          <cell r="D27">
            <v>111200</v>
          </cell>
        </row>
        <row r="28">
          <cell r="C28">
            <v>166800</v>
          </cell>
          <cell r="D28">
            <v>166800</v>
          </cell>
        </row>
        <row r="30">
          <cell r="C30">
            <v>62000</v>
          </cell>
          <cell r="D30">
            <v>62000</v>
          </cell>
        </row>
        <row r="31">
          <cell r="C31">
            <v>518000</v>
          </cell>
          <cell r="D31">
            <v>548000</v>
          </cell>
        </row>
        <row r="35">
          <cell r="C35">
            <v>190000</v>
          </cell>
          <cell r="D35">
            <v>190000</v>
          </cell>
        </row>
        <row r="36">
          <cell r="C36">
            <v>250000</v>
          </cell>
          <cell r="D36">
            <v>280000</v>
          </cell>
        </row>
        <row r="39">
          <cell r="C39">
            <v>378550</v>
          </cell>
          <cell r="D39">
            <v>401550</v>
          </cell>
        </row>
        <row r="43">
          <cell r="C43">
            <v>3550</v>
          </cell>
          <cell r="D43">
            <v>3550</v>
          </cell>
        </row>
        <row r="45">
          <cell r="C45">
            <v>16000</v>
          </cell>
          <cell r="D45">
            <v>16000</v>
          </cell>
        </row>
        <row r="48">
          <cell r="C48">
            <v>3000</v>
          </cell>
          <cell r="D48">
            <v>3000</v>
          </cell>
        </row>
        <row r="50">
          <cell r="C50">
            <v>70000</v>
          </cell>
          <cell r="D50">
            <v>70000</v>
          </cell>
        </row>
        <row r="51">
          <cell r="C51">
            <v>6300000</v>
          </cell>
          <cell r="D51">
            <v>10594000</v>
          </cell>
        </row>
        <row r="52">
          <cell r="C52">
            <v>1850000</v>
          </cell>
          <cell r="D52">
            <v>2400000</v>
          </cell>
        </row>
        <row r="62">
          <cell r="D62">
            <v>120000</v>
          </cell>
        </row>
      </sheetData>
      <sheetData sheetId="4">
        <row r="58">
          <cell r="J58">
            <v>43200</v>
          </cell>
        </row>
        <row r="59">
          <cell r="J59">
            <v>2300</v>
          </cell>
        </row>
        <row r="60">
          <cell r="J60">
            <v>120000</v>
          </cell>
        </row>
        <row r="61">
          <cell r="J61">
            <v>675045</v>
          </cell>
        </row>
        <row r="62">
          <cell r="J62">
            <v>557319.11550368206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ngatang"/>
      <sheetName val="Bieu so 33"/>
      <sheetName val="Bieu so 34"/>
      <sheetName val="Bieu so 35"/>
      <sheetName val="Bieu so 36"/>
      <sheetName val="Bieu so 37"/>
      <sheetName val="Bieu so 38"/>
      <sheetName val="Bieu so 39"/>
      <sheetName val="Bieu so 40"/>
      <sheetName val="Bieu so 41"/>
      <sheetName val="Bieu so 42"/>
      <sheetName val="Bieu so 43"/>
      <sheetName val="Bieu so 44"/>
      <sheetName val="Bieu so 45"/>
    </sheetNames>
    <sheetDataSet>
      <sheetData sheetId="0" refreshError="1"/>
      <sheetData sheetId="1">
        <row r="11">
          <cell r="E11">
            <v>4673850</v>
          </cell>
        </row>
      </sheetData>
      <sheetData sheetId="2">
        <row r="12">
          <cell r="E12">
            <v>2118410</v>
          </cell>
        </row>
      </sheetData>
      <sheetData sheetId="3">
        <row r="13">
          <cell r="E13">
            <v>175000</v>
          </cell>
        </row>
        <row r="36">
          <cell r="F36">
            <v>0</v>
          </cell>
        </row>
        <row r="37">
          <cell r="F37">
            <v>0</v>
          </cell>
        </row>
        <row r="48">
          <cell r="F48">
            <v>0</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ngatang"/>
      <sheetName val="Cân đối NSĐP 2026 (PL 01)"/>
      <sheetName val="Cân đối NS tỉnh 2026(PL 02)"/>
      <sheetName val="Thu NSDP 2026 (PL 03)"/>
      <sheetName val="Chi NSDP 2026 (PL 04)"/>
      <sheetName val="Chi thường xuyên 2026 (PL 05)"/>
      <sheetName val="Thu sự nghiệp 2026 (PL 06)"/>
      <sheetName val="Thu NS xã (PL 7)"/>
      <sheetName val="Chi NS xã (PL 8)"/>
      <sheetName val="BS cân đối NS xã (PL 9)"/>
      <sheetName val="BS mục tiêu xã (PL 10)"/>
      <sheetName val="Vay trả nợ 2025 (PL 11)"/>
      <sheetName val="Thu chi 2026-2028 (PL 12)"/>
      <sheetName val="Quỹ tài chính 2025 (PL 13)"/>
    </sheetNames>
    <sheetDataSet>
      <sheetData sheetId="0"/>
      <sheetData sheetId="1"/>
      <sheetData sheetId="2">
        <row r="13">
          <cell r="C13">
            <v>14608971</v>
          </cell>
        </row>
        <row r="24">
          <cell r="C24">
            <v>8279263.4573942097</v>
          </cell>
        </row>
      </sheetData>
      <sheetData sheetId="3">
        <row r="37">
          <cell r="D37">
            <v>199500</v>
          </cell>
        </row>
      </sheetData>
      <sheetData sheetId="4">
        <row r="15">
          <cell r="I15">
            <v>38477093.946736619</v>
          </cell>
        </row>
        <row r="27">
          <cell r="J27">
            <v>1116544.2020254801</v>
          </cell>
        </row>
        <row r="33">
          <cell r="J33">
            <v>13450</v>
          </cell>
        </row>
        <row r="34">
          <cell r="J34">
            <v>3677416.1912548458</v>
          </cell>
        </row>
        <row r="37">
          <cell r="J37">
            <v>351913.80299999996</v>
          </cell>
        </row>
        <row r="38">
          <cell r="J38">
            <v>1932793.6</v>
          </cell>
        </row>
        <row r="39">
          <cell r="J39">
            <v>202290.90963516</v>
          </cell>
        </row>
        <row r="42">
          <cell r="J42">
            <v>81797</v>
          </cell>
        </row>
        <row r="43">
          <cell r="J43">
            <v>113107</v>
          </cell>
        </row>
        <row r="44">
          <cell r="J44">
            <v>654369.17370759998</v>
          </cell>
        </row>
        <row r="45">
          <cell r="J45">
            <v>1422685.505475116</v>
          </cell>
        </row>
        <row r="58">
          <cell r="J58">
            <v>43200</v>
          </cell>
        </row>
        <row r="59">
          <cell r="J59">
            <v>2300</v>
          </cell>
        </row>
        <row r="61">
          <cell r="J61">
            <v>675045</v>
          </cell>
        </row>
        <row r="62">
          <cell r="J62">
            <v>557319.11550368206</v>
          </cell>
          <cell r="W62">
            <v>309244.08449631784</v>
          </cell>
        </row>
        <row r="63">
          <cell r="J63">
            <v>518373</v>
          </cell>
        </row>
      </sheetData>
      <sheetData sheetId="5">
        <row r="12">
          <cell r="B12" t="str">
            <v>Sở Nông nghiệp và Môi trường và các đơn vị trực thuộc</v>
          </cell>
          <cell r="C12">
            <v>467747</v>
          </cell>
          <cell r="D12">
            <v>252624</v>
          </cell>
          <cell r="E12">
            <v>204773</v>
          </cell>
          <cell r="F12">
            <v>9350</v>
          </cell>
          <cell r="G12">
            <v>1000</v>
          </cell>
          <cell r="H12">
            <v>0</v>
          </cell>
          <cell r="I12">
            <v>0</v>
          </cell>
          <cell r="J12">
            <v>0</v>
          </cell>
          <cell r="K12">
            <v>0</v>
          </cell>
          <cell r="L12">
            <v>0</v>
          </cell>
          <cell r="M12">
            <v>0</v>
          </cell>
          <cell r="N12">
            <v>0</v>
          </cell>
          <cell r="O12">
            <v>0</v>
          </cell>
          <cell r="P12">
            <v>0</v>
          </cell>
        </row>
        <row r="13">
          <cell r="B13" t="str">
            <v xml:space="preserve">Trong đó: </v>
          </cell>
          <cell r="C13"/>
          <cell r="D13"/>
          <cell r="E13"/>
          <cell r="F13"/>
          <cell r="G13"/>
          <cell r="H13"/>
          <cell r="I13"/>
          <cell r="J13"/>
          <cell r="K13"/>
          <cell r="L13"/>
          <cell r="M13"/>
          <cell r="N13"/>
          <cell r="O13"/>
          <cell r="P13"/>
        </row>
        <row r="14">
          <cell r="B14" t="str">
            <v>- Kinh phí chi công tác tập huấn, bồi dưỡng chuyên môn nghiệp vụ ngành Nông nghiệp và Môi trường</v>
          </cell>
          <cell r="C14">
            <v>1000</v>
          </cell>
          <cell r="D14"/>
          <cell r="E14"/>
          <cell r="F14"/>
          <cell r="G14">
            <v>1000</v>
          </cell>
          <cell r="H14"/>
          <cell r="I14"/>
          <cell r="J14"/>
          <cell r="K14"/>
          <cell r="L14"/>
          <cell r="M14"/>
          <cell r="N14"/>
          <cell r="O14"/>
          <cell r="P14"/>
        </row>
        <row r="15">
          <cell r="B15" t="str">
            <v xml:space="preserve">- Kinh phí điều tra xác định trữ lượng rừng, trữ lượng cacbon rừng; Xây dựng khung giá rừng </v>
          </cell>
          <cell r="C15">
            <v>29155</v>
          </cell>
          <cell r="D15"/>
          <cell r="E15">
            <v>29155</v>
          </cell>
          <cell r="F15"/>
          <cell r="G15"/>
          <cell r="H15"/>
          <cell r="I15"/>
          <cell r="J15"/>
          <cell r="K15"/>
          <cell r="L15"/>
          <cell r="M15"/>
          <cell r="N15"/>
          <cell r="O15"/>
          <cell r="P15"/>
        </row>
        <row r="16">
          <cell r="B16" t="str">
            <v xml:space="preserve">- Kinh phí đặt hàng dịch vụ sự nghiệp công lĩnh vực giống nông nghiệp </v>
          </cell>
          <cell r="C16">
            <v>1000</v>
          </cell>
          <cell r="D16"/>
          <cell r="E16">
            <v>1000</v>
          </cell>
          <cell r="F16"/>
          <cell r="G16"/>
          <cell r="H16"/>
          <cell r="I16"/>
          <cell r="J16"/>
          <cell r="K16"/>
          <cell r="L16"/>
          <cell r="M16"/>
          <cell r="N16"/>
          <cell r="O16"/>
          <cell r="P16"/>
        </row>
        <row r="17">
          <cell r="B17" t="str">
            <v>- Kinh phí đặt hàng cung cấp dịch vụ sự nghiệp công lĩnh vực quan trắc môi trường, vận hành trạm quan trắc</v>
          </cell>
          <cell r="C17">
            <v>9292</v>
          </cell>
          <cell r="D17"/>
          <cell r="E17"/>
          <cell r="F17">
            <v>9292</v>
          </cell>
          <cell r="G17"/>
          <cell r="H17"/>
          <cell r="I17"/>
          <cell r="J17"/>
          <cell r="K17"/>
          <cell r="L17"/>
          <cell r="M17"/>
          <cell r="N17"/>
          <cell r="O17"/>
          <cell r="P17"/>
        </row>
        <row r="18">
          <cell r="B18" t="str">
            <v>- Kinh phí chi xây dựng và nhân rộng các mô hình khuyến nông</v>
          </cell>
          <cell r="C18">
            <v>5000</v>
          </cell>
          <cell r="D18"/>
          <cell r="E18">
            <v>5000</v>
          </cell>
          <cell r="F18"/>
          <cell r="G18"/>
          <cell r="H18"/>
          <cell r="I18"/>
          <cell r="J18"/>
          <cell r="K18"/>
          <cell r="L18"/>
          <cell r="M18"/>
          <cell r="N18"/>
          <cell r="O18"/>
          <cell r="P18"/>
        </row>
        <row r="19">
          <cell r="B19" t="str">
            <v xml:space="preserve">- Kinh phí hoạt động của các Trạm Dịch vụ, Hỗ trợ nông nghiệp </v>
          </cell>
          <cell r="C19">
            <v>3000</v>
          </cell>
          <cell r="D19"/>
          <cell r="E19">
            <v>3000</v>
          </cell>
          <cell r="F19"/>
          <cell r="G19"/>
          <cell r="H19"/>
          <cell r="I19"/>
          <cell r="J19"/>
          <cell r="K19"/>
          <cell r="L19"/>
          <cell r="M19"/>
          <cell r="N19"/>
          <cell r="O19"/>
          <cell r="P19"/>
        </row>
        <row r="20">
          <cell r="B20" t="str">
            <v>- Kinh phí đặt hàng cung cấp dịch vụ sự nghiệp công lĩnh vực Giống nông nghiệp (Cải tạo đàn trâu bò bằng phương pháp thụ tinh nhân tạo)</v>
          </cell>
          <cell r="C20">
            <v>2307</v>
          </cell>
          <cell r="D20"/>
          <cell r="E20">
            <v>2307</v>
          </cell>
          <cell r="F20"/>
          <cell r="G20"/>
          <cell r="H20"/>
          <cell r="I20"/>
          <cell r="J20"/>
          <cell r="K20"/>
          <cell r="L20"/>
          <cell r="M20"/>
          <cell r="N20"/>
          <cell r="O20"/>
          <cell r="P20"/>
        </row>
        <row r="21">
          <cell r="B21" t="str">
            <v xml:space="preserve">- Kinh phí phục vụ công tác thu phí lĩnh vực đất đai </v>
          </cell>
          <cell r="C21">
            <v>6000</v>
          </cell>
          <cell r="D21"/>
          <cell r="E21">
            <v>6000</v>
          </cell>
          <cell r="F21"/>
          <cell r="G21"/>
          <cell r="H21"/>
          <cell r="I21"/>
          <cell r="J21"/>
          <cell r="K21"/>
          <cell r="L21"/>
          <cell r="M21"/>
          <cell r="N21"/>
          <cell r="O21"/>
          <cell r="P21"/>
        </row>
        <row r="22">
          <cell r="B22" t="str">
            <v>- Kinh phí đặt hàng cung cấp dịch vụ sự nghiệp công lĩnh vực đất đai, đo đạc bản đồ, công nghệ thông tin và lưu trữ tài nguyên môi trường</v>
          </cell>
          <cell r="C22">
            <v>12600</v>
          </cell>
          <cell r="D22"/>
          <cell r="E22">
            <v>12600</v>
          </cell>
          <cell r="F22"/>
          <cell r="G22"/>
          <cell r="H22"/>
          <cell r="I22"/>
          <cell r="J22"/>
          <cell r="K22"/>
          <cell r="L22"/>
          <cell r="M22"/>
          <cell r="N22"/>
          <cell r="O22"/>
          <cell r="P22"/>
        </row>
        <row r="23">
          <cell r="B23" t="str">
            <v>- Chi xúc tiến thương mại trong  lĩnh vực nông nghiệp của tỉnh</v>
          </cell>
          <cell r="C23">
            <v>2500</v>
          </cell>
          <cell r="D23"/>
          <cell r="E23">
            <v>2500</v>
          </cell>
          <cell r="F23"/>
          <cell r="G23"/>
          <cell r="H23"/>
          <cell r="I23"/>
          <cell r="J23"/>
          <cell r="K23"/>
          <cell r="L23"/>
          <cell r="M23"/>
          <cell r="N23"/>
          <cell r="O23"/>
          <cell r="P23"/>
        </row>
        <row r="24">
          <cell r="B24" t="str">
            <v>- Kinh phí duy tu, sửa chữa công trình thủy lợi đầu mối</v>
          </cell>
          <cell r="C24">
            <v>10000</v>
          </cell>
          <cell r="D24"/>
          <cell r="E24">
            <v>10000</v>
          </cell>
          <cell r="F24"/>
          <cell r="G24"/>
          <cell r="H24"/>
          <cell r="I24"/>
          <cell r="J24"/>
          <cell r="K24"/>
          <cell r="L24"/>
          <cell r="M24"/>
          <cell r="N24"/>
          <cell r="O24"/>
          <cell r="P24"/>
        </row>
        <row r="25">
          <cell r="B25" t="str">
            <v>Sở Công Thương và các đơn vị trực thuộc</v>
          </cell>
          <cell r="C25">
            <v>54479</v>
          </cell>
          <cell r="D25">
            <v>54479</v>
          </cell>
          <cell r="E25">
            <v>0</v>
          </cell>
          <cell r="F25">
            <v>0</v>
          </cell>
          <cell r="G25">
            <v>0</v>
          </cell>
          <cell r="H25">
            <v>0</v>
          </cell>
          <cell r="I25">
            <v>0</v>
          </cell>
          <cell r="J25">
            <v>0</v>
          </cell>
          <cell r="K25">
            <v>0</v>
          </cell>
          <cell r="L25">
            <v>0</v>
          </cell>
          <cell r="M25">
            <v>0</v>
          </cell>
          <cell r="N25">
            <v>0</v>
          </cell>
          <cell r="O25">
            <v>0</v>
          </cell>
          <cell r="P25">
            <v>0</v>
          </cell>
        </row>
        <row r="26">
          <cell r="B26" t="str">
            <v>Sở Giáo dục và Đào tạo và các đơn vị trực thuộc</v>
          </cell>
          <cell r="C26">
            <v>1713932</v>
          </cell>
          <cell r="D26">
            <v>23687</v>
          </cell>
          <cell r="E26">
            <v>0</v>
          </cell>
          <cell r="F26">
            <v>0</v>
          </cell>
          <cell r="G26">
            <v>1690245</v>
          </cell>
          <cell r="H26">
            <v>0</v>
          </cell>
          <cell r="I26">
            <v>0</v>
          </cell>
          <cell r="J26">
            <v>0</v>
          </cell>
          <cell r="K26">
            <v>0</v>
          </cell>
          <cell r="L26">
            <v>0</v>
          </cell>
          <cell r="M26">
            <v>0</v>
          </cell>
          <cell r="N26">
            <v>0</v>
          </cell>
          <cell r="O26">
            <v>0</v>
          </cell>
          <cell r="P26">
            <v>0</v>
          </cell>
        </row>
        <row r="27">
          <cell r="B27" t="str">
            <v xml:space="preserve">Trong đó: </v>
          </cell>
          <cell r="C27"/>
          <cell r="D27"/>
          <cell r="E27"/>
          <cell r="F27"/>
          <cell r="G27"/>
          <cell r="H27"/>
          <cell r="I27"/>
          <cell r="J27"/>
          <cell r="K27"/>
          <cell r="L27"/>
          <cell r="M27"/>
          <cell r="N27"/>
          <cell r="O27"/>
          <cell r="P27"/>
        </row>
        <row r="28">
          <cell r="B28" t="str">
            <v xml:space="preserve">- Kinh phí thực hiện một số chính sách hỗ trợ, phát sự nghiệp giáo dục và đào tạo tỉnh Lào Cai đối với các đơn vị trực thuộc Sở Giáo dục và Đào tạo </v>
          </cell>
          <cell r="C28">
            <v>66972</v>
          </cell>
          <cell r="D28"/>
          <cell r="E28"/>
          <cell r="F28"/>
          <cell r="G28">
            <v>66972</v>
          </cell>
          <cell r="H28"/>
          <cell r="I28"/>
          <cell r="J28"/>
          <cell r="K28"/>
          <cell r="L28"/>
          <cell r="M28"/>
          <cell r="N28"/>
          <cell r="O28"/>
          <cell r="P28"/>
        </row>
        <row r="29">
          <cell r="B29" t="str">
            <v xml:space="preserve">- Kinh phí chuẩn bị, tổ chức và tham dự các kỳ thi, cuộc thi, hội thi; hỗ trợ 01 lần trong thời gian ôn thi tốt nghiệp trung học phổ thông </v>
          </cell>
          <cell r="C29">
            <v>40000</v>
          </cell>
          <cell r="D29"/>
          <cell r="E29"/>
          <cell r="F29"/>
          <cell r="G29">
            <v>40000</v>
          </cell>
          <cell r="H29"/>
          <cell r="I29"/>
          <cell r="J29"/>
          <cell r="K29"/>
          <cell r="L29"/>
          <cell r="M29"/>
          <cell r="N29"/>
          <cell r="O29"/>
          <cell r="P29"/>
        </row>
        <row r="30">
          <cell r="B30" t="str">
            <v>- Kinh phí tham gia Đại hội thể dục thể thao cấp tỉnh</v>
          </cell>
          <cell r="C30">
            <v>2000</v>
          </cell>
          <cell r="D30"/>
          <cell r="E30"/>
          <cell r="F30"/>
          <cell r="G30">
            <v>2000</v>
          </cell>
          <cell r="H30"/>
          <cell r="I30"/>
          <cell r="J30"/>
          <cell r="K30"/>
          <cell r="L30"/>
          <cell r="M30"/>
          <cell r="N30"/>
          <cell r="O30"/>
          <cell r="P30"/>
        </row>
        <row r="31">
          <cell r="B31" t="str">
            <v xml:space="preserve">Sở Xây dựng </v>
          </cell>
          <cell r="C31">
            <v>559984.22907999996</v>
          </cell>
          <cell r="D31">
            <v>70966</v>
          </cell>
          <cell r="E31">
            <v>489018</v>
          </cell>
          <cell r="F31">
            <v>0</v>
          </cell>
          <cell r="G31">
            <v>0</v>
          </cell>
          <cell r="H31">
            <v>0</v>
          </cell>
          <cell r="I31">
            <v>0</v>
          </cell>
          <cell r="J31">
            <v>0</v>
          </cell>
          <cell r="K31">
            <v>0</v>
          </cell>
          <cell r="L31">
            <v>0</v>
          </cell>
          <cell r="M31">
            <v>0</v>
          </cell>
          <cell r="N31">
            <v>0</v>
          </cell>
          <cell r="O31">
            <v>0</v>
          </cell>
          <cell r="P31">
            <v>0</v>
          </cell>
        </row>
        <row r="32">
          <cell r="B32" t="str">
            <v xml:space="preserve">Trong đó: </v>
          </cell>
          <cell r="C32"/>
          <cell r="D32"/>
          <cell r="E32"/>
          <cell r="F32"/>
          <cell r="G32"/>
          <cell r="H32"/>
          <cell r="I32"/>
          <cell r="J32"/>
          <cell r="K32"/>
          <cell r="L32"/>
          <cell r="M32"/>
          <cell r="N32"/>
          <cell r="O32"/>
          <cell r="P32"/>
        </row>
        <row r="33">
          <cell r="B33" t="str">
            <v>- Kinh phí quản lý, bảo trì đường bộ (TW bổ sung có mục tiêu)</v>
          </cell>
          <cell r="C33">
            <v>439018</v>
          </cell>
          <cell r="D33"/>
          <cell r="E33">
            <v>439018</v>
          </cell>
          <cell r="F33"/>
          <cell r="G33"/>
          <cell r="H33"/>
          <cell r="I33"/>
          <cell r="J33"/>
          <cell r="K33"/>
          <cell r="L33"/>
          <cell r="M33"/>
          <cell r="N33"/>
          <cell r="O33"/>
          <cell r="P33"/>
        </row>
        <row r="34">
          <cell r="B34" t="str">
            <v>- Kinh phí duy tu, sửa chữa giao thông đường bộ</v>
          </cell>
          <cell r="C34">
            <v>50000</v>
          </cell>
          <cell r="D34"/>
          <cell r="E34">
            <v>50000</v>
          </cell>
          <cell r="F34"/>
          <cell r="G34"/>
          <cell r="H34"/>
          <cell r="I34"/>
          <cell r="J34"/>
          <cell r="K34"/>
          <cell r="L34"/>
          <cell r="M34"/>
          <cell r="N34"/>
          <cell r="O34"/>
          <cell r="P34"/>
        </row>
        <row r="35">
          <cell r="B35" t="str">
            <v>Sở Khoa học và Công nghệ và các đơn vị trực thuộc</v>
          </cell>
          <cell r="C35">
            <v>204657.06320000003</v>
          </cell>
          <cell r="D35">
            <v>26468</v>
          </cell>
          <cell r="E35">
            <v>0</v>
          </cell>
          <cell r="F35">
            <v>0</v>
          </cell>
          <cell r="G35">
            <v>3000</v>
          </cell>
          <cell r="H35">
            <v>0</v>
          </cell>
          <cell r="I35">
            <v>175189</v>
          </cell>
          <cell r="J35">
            <v>0</v>
          </cell>
          <cell r="K35">
            <v>0</v>
          </cell>
          <cell r="L35">
            <v>0</v>
          </cell>
          <cell r="M35">
            <v>0</v>
          </cell>
          <cell r="N35">
            <v>0</v>
          </cell>
          <cell r="O35">
            <v>0</v>
          </cell>
          <cell r="P35">
            <v>0</v>
          </cell>
        </row>
        <row r="36">
          <cell r="B36" t="str">
            <v xml:space="preserve">Trong đó: </v>
          </cell>
          <cell r="C36"/>
          <cell r="D36"/>
          <cell r="E36"/>
          <cell r="F36"/>
          <cell r="G36"/>
          <cell r="H36"/>
          <cell r="I36"/>
          <cell r="J36"/>
          <cell r="K36"/>
          <cell r="L36"/>
          <cell r="M36"/>
          <cell r="N36"/>
          <cell r="O36"/>
          <cell r="P36"/>
        </row>
        <row r="37">
          <cell r="B37" t="str">
            <v>- Kinh phí đặt hàng thực hiện nhãn hiệu, thương hiệu, chỉ dẫn địa lý, truy xuất nguồn gốc sản phẩm nông lâm nghiệp chủ lực của tỉnh.</v>
          </cell>
          <cell r="C37">
            <v>5000</v>
          </cell>
          <cell r="D37"/>
          <cell r="E37"/>
          <cell r="F37"/>
          <cell r="G37"/>
          <cell r="H37"/>
          <cell r="I37">
            <v>5000</v>
          </cell>
          <cell r="J37"/>
          <cell r="K37"/>
          <cell r="L37"/>
          <cell r="M37"/>
          <cell r="N37"/>
          <cell r="O37"/>
          <cell r="P37"/>
        </row>
        <row r="38">
          <cell r="B38" t="str">
            <v xml:space="preserve">- Kinh phí đặt hàng cung cấp dịch vụ sự nghiệp công lĩnh vực công nghệ thông tin </v>
          </cell>
          <cell r="C38">
            <v>17712</v>
          </cell>
          <cell r="D38"/>
          <cell r="E38"/>
          <cell r="F38"/>
          <cell r="G38"/>
          <cell r="H38"/>
          <cell r="I38">
            <v>17712</v>
          </cell>
          <cell r="J38"/>
          <cell r="K38"/>
          <cell r="L38"/>
          <cell r="M38"/>
          <cell r="N38"/>
          <cell r="O38"/>
          <cell r="P38"/>
        </row>
        <row r="39">
          <cell r="B39" t="str">
            <v xml:space="preserve">- Kinh phí thực hiện nhiệm vụ khoa học công nghệ, đổi mới sáng tạo và chuyển đổi số </v>
          </cell>
          <cell r="C39">
            <v>62901.651990800005</v>
          </cell>
          <cell r="D39"/>
          <cell r="E39"/>
          <cell r="F39"/>
          <cell r="G39"/>
          <cell r="H39"/>
          <cell r="I39">
            <v>62901.651990800005</v>
          </cell>
          <cell r="J39"/>
          <cell r="K39"/>
          <cell r="L39"/>
          <cell r="M39"/>
          <cell r="N39"/>
          <cell r="O39"/>
          <cell r="P39"/>
        </row>
        <row r="40">
          <cell r="B40" t="str">
            <v xml:space="preserve">- Kinh phí tập huấn, bồi dưỡng nghiệp vụ lĩnh vực khoa học công nghệ, đổi mới sáng tạo và chuyển đổi số </v>
          </cell>
          <cell r="C40">
            <v>3000</v>
          </cell>
          <cell r="D40"/>
          <cell r="E40"/>
          <cell r="F40"/>
          <cell r="G40">
            <v>3000</v>
          </cell>
          <cell r="H40"/>
          <cell r="I40"/>
          <cell r="J40"/>
          <cell r="K40"/>
          <cell r="L40"/>
          <cell r="M40"/>
          <cell r="N40"/>
          <cell r="O40"/>
          <cell r="P40"/>
        </row>
        <row r="41">
          <cell r="B41" t="str">
            <v xml:space="preserve">Sở Văn hoá Thể thao và Du lịch và các đơn vị trực thuộc </v>
          </cell>
          <cell r="C41">
            <v>197299.73452676</v>
          </cell>
          <cell r="D41">
            <v>29357</v>
          </cell>
          <cell r="E41">
            <v>12911.743200000001</v>
          </cell>
          <cell r="F41">
            <v>0</v>
          </cell>
          <cell r="G41">
            <v>1000</v>
          </cell>
          <cell r="H41">
            <v>0</v>
          </cell>
          <cell r="I41">
            <v>0</v>
          </cell>
          <cell r="J41">
            <v>72233.734759159997</v>
          </cell>
          <cell r="K41">
            <v>81797</v>
          </cell>
          <cell r="L41">
            <v>0</v>
          </cell>
          <cell r="M41">
            <v>0</v>
          </cell>
          <cell r="N41">
            <v>0</v>
          </cell>
          <cell r="O41">
            <v>0</v>
          </cell>
          <cell r="P41">
            <v>0</v>
          </cell>
        </row>
        <row r="42">
          <cell r="B42" t="str">
            <v xml:space="preserve">Trong đó: </v>
          </cell>
          <cell r="C42"/>
          <cell r="D42"/>
          <cell r="E42"/>
          <cell r="F42"/>
          <cell r="G42"/>
          <cell r="H42"/>
          <cell r="I42"/>
          <cell r="J42"/>
          <cell r="K42"/>
          <cell r="L42"/>
          <cell r="M42"/>
          <cell r="N42"/>
          <cell r="O42"/>
          <cell r="P42"/>
        </row>
        <row r="43">
          <cell r="B43" t="str">
            <v xml:space="preserve">- Kinh phí tập huấn, bồi dưỡng nghiệp vụ ngành văn hoá </v>
          </cell>
          <cell r="C43">
            <v>1000</v>
          </cell>
          <cell r="D43"/>
          <cell r="E43"/>
          <cell r="F43"/>
          <cell r="G43">
            <v>1000</v>
          </cell>
          <cell r="H43"/>
          <cell r="I43"/>
          <cell r="J43"/>
          <cell r="K43"/>
          <cell r="L43"/>
          <cell r="M43"/>
          <cell r="N43"/>
          <cell r="O43"/>
          <cell r="P43"/>
        </row>
        <row r="44">
          <cell r="B44" t="str">
            <v xml:space="preserve">- Kinh phí chi hoạt động xúc tiến, phát triển du lịch của tỉnh </v>
          </cell>
          <cell r="C44">
            <v>4000</v>
          </cell>
          <cell r="D44"/>
          <cell r="E44"/>
          <cell r="F44"/>
          <cell r="G44"/>
          <cell r="H44"/>
          <cell r="I44"/>
          <cell r="J44">
            <v>4000</v>
          </cell>
          <cell r="K44"/>
          <cell r="L44"/>
          <cell r="M44"/>
          <cell r="N44"/>
          <cell r="O44"/>
          <cell r="P44"/>
        </row>
        <row r="45">
          <cell r="B45" t="str">
            <v>Sở Nội vụ và các đơn vị trực thuộc</v>
          </cell>
          <cell r="C45">
            <v>122393.82980799999</v>
          </cell>
          <cell r="D45">
            <v>41939</v>
          </cell>
          <cell r="E45">
            <v>12476.829807999999</v>
          </cell>
          <cell r="F45">
            <v>0</v>
          </cell>
          <cell r="G45">
            <v>24013</v>
          </cell>
          <cell r="H45">
            <v>0</v>
          </cell>
          <cell r="I45">
            <v>3120</v>
          </cell>
          <cell r="J45">
            <v>0</v>
          </cell>
          <cell r="K45">
            <v>0</v>
          </cell>
          <cell r="L45">
            <v>0</v>
          </cell>
          <cell r="M45">
            <v>40845</v>
          </cell>
          <cell r="N45">
            <v>0</v>
          </cell>
          <cell r="O45">
            <v>0</v>
          </cell>
          <cell r="P45">
            <v>0</v>
          </cell>
        </row>
        <row r="46">
          <cell r="B46" t="str">
            <v xml:space="preserve">Trong đó: </v>
          </cell>
          <cell r="C46"/>
          <cell r="D46"/>
          <cell r="E46"/>
          <cell r="F46"/>
          <cell r="G46"/>
          <cell r="H46"/>
          <cell r="I46"/>
          <cell r="J46"/>
          <cell r="K46"/>
          <cell r="L46"/>
          <cell r="M46"/>
          <cell r="N46"/>
          <cell r="O46"/>
          <cell r="P46"/>
        </row>
        <row r="47">
          <cell r="B47" t="str">
            <v>- Kinh phí đào tạo, bồi dưỡng cán bộ, công chức</v>
          </cell>
          <cell r="C47">
            <v>10000</v>
          </cell>
          <cell r="D47"/>
          <cell r="E47"/>
          <cell r="F47"/>
          <cell r="G47">
            <v>10000</v>
          </cell>
          <cell r="H47"/>
          <cell r="I47"/>
          <cell r="J47"/>
          <cell r="K47"/>
          <cell r="L47"/>
          <cell r="M47"/>
          <cell r="N47"/>
          <cell r="O47"/>
          <cell r="P47"/>
        </row>
        <row r="48">
          <cell r="B48" t="str">
            <v xml:space="preserve">- Kinh phí công tác thi đua khen thưởng của tỉnh </v>
          </cell>
          <cell r="C48">
            <v>32000</v>
          </cell>
          <cell r="D48"/>
          <cell r="E48"/>
          <cell r="F48"/>
          <cell r="G48"/>
          <cell r="H48"/>
          <cell r="I48"/>
          <cell r="J48"/>
          <cell r="K48"/>
          <cell r="L48"/>
          <cell r="M48">
            <v>32000</v>
          </cell>
          <cell r="N48"/>
          <cell r="O48"/>
          <cell r="P48"/>
        </row>
        <row r="49">
          <cell r="B49" t="str">
            <v xml:space="preserve">- Kinh phí thực hiện chính sách hỗ trợ người lao động đi làm việc ở nước ngoài </v>
          </cell>
          <cell r="C49">
            <v>6741</v>
          </cell>
          <cell r="D49"/>
          <cell r="E49"/>
          <cell r="F49"/>
          <cell r="G49">
            <v>6741</v>
          </cell>
          <cell r="H49"/>
          <cell r="I49"/>
          <cell r="J49"/>
          <cell r="K49"/>
          <cell r="L49"/>
          <cell r="M49"/>
          <cell r="N49"/>
          <cell r="O49"/>
          <cell r="P49"/>
        </row>
        <row r="50">
          <cell r="B50" t="str">
            <v xml:space="preserve">Sở Tư pháp và các đơn vị trực thuộc </v>
          </cell>
          <cell r="C50">
            <v>29098.335187999997</v>
          </cell>
          <cell r="D50">
            <v>14582</v>
          </cell>
          <cell r="E50">
            <v>14515.712455999997</v>
          </cell>
          <cell r="F50">
            <v>0</v>
          </cell>
          <cell r="G50">
            <v>0</v>
          </cell>
          <cell r="H50">
            <v>0</v>
          </cell>
          <cell r="I50">
            <v>0</v>
          </cell>
          <cell r="J50">
            <v>0</v>
          </cell>
          <cell r="K50">
            <v>0</v>
          </cell>
          <cell r="L50">
            <v>0</v>
          </cell>
          <cell r="M50">
            <v>0</v>
          </cell>
          <cell r="N50">
            <v>0</v>
          </cell>
          <cell r="O50">
            <v>0</v>
          </cell>
          <cell r="P50">
            <v>0</v>
          </cell>
        </row>
        <row r="51">
          <cell r="B51" t="str">
            <v>Sở Ngoại vụ</v>
          </cell>
          <cell r="C51">
            <v>41410</v>
          </cell>
          <cell r="D51">
            <v>41410</v>
          </cell>
          <cell r="E51">
            <v>0</v>
          </cell>
          <cell r="F51">
            <v>0</v>
          </cell>
          <cell r="G51">
            <v>0</v>
          </cell>
          <cell r="H51">
            <v>0</v>
          </cell>
          <cell r="I51">
            <v>0</v>
          </cell>
          <cell r="J51">
            <v>0</v>
          </cell>
          <cell r="K51">
            <v>0</v>
          </cell>
          <cell r="L51">
            <v>0</v>
          </cell>
          <cell r="M51">
            <v>0</v>
          </cell>
          <cell r="N51">
            <v>0</v>
          </cell>
          <cell r="O51">
            <v>0</v>
          </cell>
          <cell r="P51">
            <v>0</v>
          </cell>
        </row>
        <row r="52">
          <cell r="B52" t="str">
            <v xml:space="preserve">Trong đó: </v>
          </cell>
          <cell r="C52"/>
          <cell r="D52"/>
          <cell r="E52"/>
          <cell r="F52"/>
          <cell r="G52"/>
          <cell r="H52"/>
          <cell r="I52"/>
          <cell r="J52"/>
          <cell r="K52"/>
          <cell r="L52"/>
          <cell r="M52"/>
          <cell r="N52"/>
          <cell r="O52"/>
          <cell r="P52"/>
        </row>
        <row r="53">
          <cell r="B53" t="str">
            <v>- Kinh phí đoàn ra, đoàn vào và  thực hiện các hoạt động hợp tác đầu tư với các tỉnh trong và ngoài nước</v>
          </cell>
          <cell r="C53">
            <v>30000</v>
          </cell>
          <cell r="D53">
            <v>30000</v>
          </cell>
          <cell r="E53"/>
          <cell r="F53"/>
          <cell r="G53"/>
          <cell r="H53"/>
          <cell r="I53"/>
          <cell r="J53"/>
          <cell r="K53"/>
          <cell r="L53"/>
          <cell r="M53"/>
          <cell r="N53"/>
          <cell r="O53"/>
          <cell r="P53"/>
        </row>
        <row r="54">
          <cell r="B54" t="str">
            <v xml:space="preserve">Văn phòng Uỷ ban nhân dân tỉnh và các đơn vị trực thuộc </v>
          </cell>
          <cell r="C54">
            <v>100626.5280528</v>
          </cell>
          <cell r="D54">
            <v>83204</v>
          </cell>
          <cell r="E54">
            <v>1442.9869704000002</v>
          </cell>
          <cell r="F54">
            <v>0</v>
          </cell>
          <cell r="G54">
            <v>0</v>
          </cell>
          <cell r="H54">
            <v>0</v>
          </cell>
          <cell r="I54">
            <v>9725.8329999999987</v>
          </cell>
          <cell r="J54">
            <v>6254.1748760000009</v>
          </cell>
          <cell r="K54">
            <v>0</v>
          </cell>
          <cell r="L54">
            <v>0</v>
          </cell>
          <cell r="M54">
            <v>0</v>
          </cell>
          <cell r="N54">
            <v>0</v>
          </cell>
          <cell r="O54">
            <v>0</v>
          </cell>
          <cell r="P54">
            <v>0</v>
          </cell>
        </row>
        <row r="55">
          <cell r="B55" t="str">
            <v xml:space="preserve">Trong đó: </v>
          </cell>
          <cell r="C55"/>
          <cell r="D55"/>
          <cell r="E55"/>
          <cell r="F55"/>
          <cell r="G55"/>
          <cell r="H55"/>
          <cell r="I55"/>
          <cell r="J55"/>
          <cell r="K55"/>
          <cell r="L55"/>
          <cell r="M55"/>
          <cell r="N55"/>
          <cell r="O55"/>
          <cell r="P55"/>
        </row>
        <row r="56">
          <cell r="B56" t="str">
            <v xml:space="preserve">- Kinh phí may trang phục đối với người làm việc tại Trung tâm Phục vụ Hành chính công cấp xã </v>
          </cell>
          <cell r="C56">
            <v>3000</v>
          </cell>
          <cell r="D56">
            <v>3000</v>
          </cell>
          <cell r="E56"/>
          <cell r="F56"/>
          <cell r="G56"/>
          <cell r="H56"/>
          <cell r="I56"/>
          <cell r="J56"/>
          <cell r="K56"/>
          <cell r="L56"/>
          <cell r="M56"/>
          <cell r="N56"/>
          <cell r="O56"/>
          <cell r="P56"/>
        </row>
        <row r="57">
          <cell r="B57" t="str">
            <v>Sở Y tế và các đơn vị trực thuộc</v>
          </cell>
          <cell r="C57">
            <v>896065.95901390503</v>
          </cell>
          <cell r="D57">
            <v>28305</v>
          </cell>
          <cell r="E57">
            <v>500</v>
          </cell>
          <cell r="F57">
            <v>0</v>
          </cell>
          <cell r="G57">
            <v>27923</v>
          </cell>
          <cell r="H57">
            <v>788908.03166310501</v>
          </cell>
          <cell r="I57">
            <v>16599</v>
          </cell>
          <cell r="J57">
            <v>0</v>
          </cell>
          <cell r="K57">
            <v>0</v>
          </cell>
          <cell r="L57">
            <v>0</v>
          </cell>
          <cell r="M57">
            <v>33831.300000000003</v>
          </cell>
          <cell r="N57">
            <v>0</v>
          </cell>
          <cell r="O57">
            <v>0</v>
          </cell>
          <cell r="P57">
            <v>0</v>
          </cell>
        </row>
        <row r="58">
          <cell r="B58" t="str">
            <v xml:space="preserve">Trong đó: </v>
          </cell>
          <cell r="C58"/>
          <cell r="D58"/>
          <cell r="E58"/>
          <cell r="F58"/>
          <cell r="G58"/>
          <cell r="H58"/>
          <cell r="I58"/>
          <cell r="J58"/>
          <cell r="K58"/>
          <cell r="L58"/>
          <cell r="M58"/>
          <cell r="N58"/>
          <cell r="O58"/>
          <cell r="P58"/>
        </row>
        <row r="59">
          <cell r="B59" t="str">
            <v>- Kinh phí đào tạo, chuyển giao kỹ thuật</v>
          </cell>
          <cell r="C59">
            <v>6523</v>
          </cell>
          <cell r="D59"/>
          <cell r="E59"/>
          <cell r="F59"/>
          <cell r="G59">
            <v>6523</v>
          </cell>
          <cell r="H59"/>
          <cell r="I59"/>
          <cell r="J59"/>
          <cell r="K59"/>
          <cell r="L59"/>
          <cell r="M59"/>
          <cell r="N59"/>
          <cell r="O59"/>
          <cell r="P59"/>
        </row>
        <row r="60">
          <cell r="B60" t="str">
            <v xml:space="preserve">- Kinh phí tổ chức tập huấn, bồi dưỡng nghiệp vụ chuyên môn </v>
          </cell>
          <cell r="C60">
            <v>3000</v>
          </cell>
          <cell r="D60"/>
          <cell r="E60"/>
          <cell r="F60"/>
          <cell r="G60">
            <v>3000</v>
          </cell>
          <cell r="H60"/>
          <cell r="I60"/>
          <cell r="J60"/>
          <cell r="K60"/>
          <cell r="L60"/>
          <cell r="M60"/>
          <cell r="N60"/>
          <cell r="O60"/>
          <cell r="P60"/>
        </row>
        <row r="61">
          <cell r="B61" t="str">
            <v xml:space="preserve">- Kinh phí thực hiện chính sách thu hút, đào tạo sau đại học, đào tạo bác sĩ chính quy theo Nghị quyết của  Hội đồng nhân dân tỉnh </v>
          </cell>
          <cell r="C61">
            <v>18400</v>
          </cell>
          <cell r="D61"/>
          <cell r="E61"/>
          <cell r="F61"/>
          <cell r="G61">
            <v>18400</v>
          </cell>
          <cell r="H61"/>
          <cell r="I61"/>
          <cell r="J61"/>
          <cell r="K61"/>
          <cell r="L61"/>
          <cell r="M61"/>
          <cell r="N61"/>
          <cell r="O61"/>
          <cell r="P61"/>
        </row>
        <row r="62">
          <cell r="B62" t="str">
            <v>- Kinh phí thực hiện Chương trình y tế dân số theo Công văn số 7852/BTC-HCSN ngày 8/8/2022 của Bộ Tài chính hướng dẫn định mức chi các nhiệm vụ CTMT dân số chuyển thành nhiệm vụ chi thường xuyên</v>
          </cell>
          <cell r="C62">
            <v>6560</v>
          </cell>
          <cell r="D62"/>
          <cell r="E62"/>
          <cell r="F62"/>
          <cell r="G62"/>
          <cell r="H62">
            <v>6560</v>
          </cell>
          <cell r="I62"/>
          <cell r="J62"/>
          <cell r="K62"/>
          <cell r="L62"/>
          <cell r="M62"/>
          <cell r="N62"/>
          <cell r="O62"/>
          <cell r="P62"/>
        </row>
        <row r="63">
          <cell r="B63" t="str">
            <v>- Kinh phí khám tuyển nghĩa vụ quân sự, công an</v>
          </cell>
          <cell r="C63">
            <v>6220</v>
          </cell>
          <cell r="D63"/>
          <cell r="E63"/>
          <cell r="F63"/>
          <cell r="G63"/>
          <cell r="H63">
            <v>6220</v>
          </cell>
          <cell r="I63"/>
          <cell r="J63"/>
          <cell r="K63"/>
          <cell r="L63"/>
          <cell r="M63"/>
          <cell r="N63"/>
          <cell r="O63"/>
          <cell r="P63"/>
        </row>
        <row r="64">
          <cell r="B64" t="str">
            <v>- Kinh phí khám sức khỏe định kỳ, thường kỳ, đối với cán bộ thuộc diện Trung ương, Ban Thường vụ Tỉnh ủy quản lý</v>
          </cell>
          <cell r="C64">
            <v>24582</v>
          </cell>
          <cell r="D64"/>
          <cell r="E64"/>
          <cell r="F64"/>
          <cell r="G64"/>
          <cell r="H64">
            <v>24582</v>
          </cell>
          <cell r="I64"/>
          <cell r="J64"/>
          <cell r="K64"/>
          <cell r="L64"/>
          <cell r="M64"/>
          <cell r="N64"/>
          <cell r="O64"/>
          <cell r="P64"/>
        </row>
        <row r="65">
          <cell r="B65" t="str">
            <v xml:space="preserve">- Kinh phí hợp tác với các viện, bệnh viện tuyến trung ương </v>
          </cell>
          <cell r="C65">
            <v>1500</v>
          </cell>
          <cell r="D65"/>
          <cell r="E65"/>
          <cell r="F65"/>
          <cell r="G65"/>
          <cell r="H65">
            <v>1500</v>
          </cell>
          <cell r="I65"/>
          <cell r="J65"/>
          <cell r="K65"/>
          <cell r="L65"/>
          <cell r="M65"/>
          <cell r="N65"/>
          <cell r="O65"/>
          <cell r="P65"/>
        </row>
        <row r="66">
          <cell r="B66" t="str">
            <v xml:space="preserve">Ban Quản lý khu kinh tế </v>
          </cell>
          <cell r="C66">
            <v>35696.202996</v>
          </cell>
          <cell r="D66">
            <v>18843.992996000001</v>
          </cell>
          <cell r="E66">
            <v>8889</v>
          </cell>
          <cell r="F66">
            <v>4000</v>
          </cell>
          <cell r="G66">
            <v>0</v>
          </cell>
          <cell r="H66">
            <v>0</v>
          </cell>
          <cell r="I66">
            <v>3963.21</v>
          </cell>
          <cell r="J66">
            <v>0</v>
          </cell>
          <cell r="K66">
            <v>0</v>
          </cell>
          <cell r="L66">
            <v>0</v>
          </cell>
          <cell r="M66">
            <v>0</v>
          </cell>
          <cell r="N66">
            <v>0</v>
          </cell>
          <cell r="O66">
            <v>0</v>
          </cell>
          <cell r="P66">
            <v>0</v>
          </cell>
        </row>
        <row r="67">
          <cell r="B67" t="str">
            <v xml:space="preserve">Ban Quản lý khu công nghiệp </v>
          </cell>
          <cell r="C67">
            <v>8981.5818381600002</v>
          </cell>
          <cell r="D67">
            <v>5796.5818381600002</v>
          </cell>
          <cell r="E67">
            <v>3085</v>
          </cell>
          <cell r="F67">
            <v>100</v>
          </cell>
          <cell r="G67">
            <v>0</v>
          </cell>
          <cell r="H67">
            <v>0</v>
          </cell>
          <cell r="I67">
            <v>0</v>
          </cell>
          <cell r="J67">
            <v>0</v>
          </cell>
          <cell r="K67">
            <v>0</v>
          </cell>
          <cell r="L67">
            <v>0</v>
          </cell>
          <cell r="M67">
            <v>0</v>
          </cell>
          <cell r="N67">
            <v>0</v>
          </cell>
          <cell r="O67">
            <v>0</v>
          </cell>
          <cell r="P67">
            <v>0</v>
          </cell>
        </row>
        <row r="68">
          <cell r="B68" t="str">
            <v xml:space="preserve">Sở Dân tộc và Tôn giáo và các đơn vị trực thuộc </v>
          </cell>
          <cell r="C68">
            <v>20420.211087199998</v>
          </cell>
          <cell r="D68">
            <v>20420.211087199998</v>
          </cell>
          <cell r="E68">
            <v>0</v>
          </cell>
          <cell r="F68">
            <v>0</v>
          </cell>
          <cell r="G68">
            <v>0</v>
          </cell>
          <cell r="H68">
            <v>0</v>
          </cell>
          <cell r="I68">
            <v>0</v>
          </cell>
          <cell r="J68">
            <v>0</v>
          </cell>
          <cell r="K68">
            <v>0</v>
          </cell>
          <cell r="L68">
            <v>0</v>
          </cell>
          <cell r="M68">
            <v>0</v>
          </cell>
          <cell r="N68">
            <v>0</v>
          </cell>
          <cell r="O68">
            <v>0</v>
          </cell>
          <cell r="P68">
            <v>0</v>
          </cell>
        </row>
        <row r="69">
          <cell r="B69" t="str">
            <v xml:space="preserve">Vườn Quốc gia Hoàng Liên và các đơn vị trực thuộc </v>
          </cell>
          <cell r="C69">
            <v>32682.613604000002</v>
          </cell>
          <cell r="D69">
            <v>20132.613604000002</v>
          </cell>
          <cell r="E69">
            <v>12550</v>
          </cell>
          <cell r="F69">
            <v>0</v>
          </cell>
          <cell r="G69">
            <v>0</v>
          </cell>
          <cell r="H69">
            <v>0</v>
          </cell>
          <cell r="I69">
            <v>0</v>
          </cell>
          <cell r="J69">
            <v>0</v>
          </cell>
          <cell r="K69">
            <v>0</v>
          </cell>
          <cell r="L69">
            <v>0</v>
          </cell>
          <cell r="M69">
            <v>0</v>
          </cell>
          <cell r="N69">
            <v>0</v>
          </cell>
          <cell r="O69">
            <v>0</v>
          </cell>
          <cell r="P69">
            <v>0</v>
          </cell>
        </row>
        <row r="70">
          <cell r="B70" t="str">
            <v xml:space="preserve">Trung tâm Phát triển quỹ đất tỉnh </v>
          </cell>
          <cell r="C70">
            <v>11265.194943999999</v>
          </cell>
          <cell r="D70">
            <v>0</v>
          </cell>
          <cell r="E70">
            <v>11265.194943999999</v>
          </cell>
          <cell r="F70">
            <v>0</v>
          </cell>
          <cell r="G70">
            <v>0</v>
          </cell>
          <cell r="H70">
            <v>0</v>
          </cell>
          <cell r="I70">
            <v>0</v>
          </cell>
          <cell r="J70">
            <v>0</v>
          </cell>
          <cell r="K70">
            <v>0</v>
          </cell>
          <cell r="L70">
            <v>0</v>
          </cell>
          <cell r="M70">
            <v>0</v>
          </cell>
          <cell r="N70">
            <v>0</v>
          </cell>
          <cell r="O70">
            <v>0</v>
          </cell>
          <cell r="P70">
            <v>0</v>
          </cell>
        </row>
        <row r="71">
          <cell r="B71" t="str">
            <v xml:space="preserve">Thanh tra tỉnh </v>
          </cell>
          <cell r="C71">
            <v>57899.196559999997</v>
          </cell>
          <cell r="D71">
            <v>57899.196559999997</v>
          </cell>
          <cell r="E71">
            <v>0</v>
          </cell>
          <cell r="F71">
            <v>0</v>
          </cell>
          <cell r="G71">
            <v>0</v>
          </cell>
          <cell r="H71">
            <v>0</v>
          </cell>
          <cell r="I71">
            <v>0</v>
          </cell>
          <cell r="J71">
            <v>0</v>
          </cell>
          <cell r="K71">
            <v>0</v>
          </cell>
          <cell r="L71">
            <v>0</v>
          </cell>
          <cell r="M71">
            <v>0</v>
          </cell>
          <cell r="N71">
            <v>0</v>
          </cell>
          <cell r="O71">
            <v>0</v>
          </cell>
          <cell r="P71">
            <v>0</v>
          </cell>
        </row>
        <row r="72">
          <cell r="B72" t="str">
            <v>Văn phòng Tỉnh ủy và các đơn vị trực thuộc</v>
          </cell>
          <cell r="C72">
            <v>422182.254125376</v>
          </cell>
          <cell r="D72">
            <v>236380.254125376</v>
          </cell>
          <cell r="E72">
            <v>0</v>
          </cell>
          <cell r="F72">
            <v>0</v>
          </cell>
          <cell r="G72">
            <v>0</v>
          </cell>
          <cell r="H72">
            <v>0</v>
          </cell>
          <cell r="I72">
            <v>8000</v>
          </cell>
          <cell r="J72">
            <v>66003</v>
          </cell>
          <cell r="K72">
            <v>0</v>
          </cell>
          <cell r="L72">
            <v>111799</v>
          </cell>
          <cell r="M72">
            <v>0</v>
          </cell>
          <cell r="N72">
            <v>0</v>
          </cell>
          <cell r="O72">
            <v>0</v>
          </cell>
          <cell r="P72">
            <v>0</v>
          </cell>
        </row>
        <row r="73">
          <cell r="B73" t="str">
            <v>Sở Tài chính và các đơn vị trực thuộc</v>
          </cell>
          <cell r="C73">
            <v>129177.4476384</v>
          </cell>
          <cell r="D73">
            <v>73175</v>
          </cell>
          <cell r="E73">
            <v>55002.447638400001</v>
          </cell>
          <cell r="F73">
            <v>0</v>
          </cell>
          <cell r="G73">
            <v>1000</v>
          </cell>
          <cell r="H73">
            <v>0</v>
          </cell>
          <cell r="I73">
            <v>0</v>
          </cell>
          <cell r="J73">
            <v>0</v>
          </cell>
          <cell r="K73">
            <v>0</v>
          </cell>
          <cell r="L73">
            <v>0</v>
          </cell>
          <cell r="M73">
            <v>0</v>
          </cell>
          <cell r="N73">
            <v>0</v>
          </cell>
          <cell r="O73">
            <v>0</v>
          </cell>
          <cell r="P73">
            <v>0</v>
          </cell>
        </row>
        <row r="74">
          <cell r="B74" t="str">
            <v xml:space="preserve">Trong đó: </v>
          </cell>
          <cell r="C74"/>
          <cell r="D74"/>
          <cell r="E74"/>
          <cell r="F74"/>
          <cell r="G74"/>
          <cell r="H74"/>
          <cell r="I74"/>
          <cell r="J74"/>
          <cell r="K74"/>
          <cell r="L74"/>
          <cell r="M74"/>
          <cell r="N74"/>
          <cell r="O74"/>
          <cell r="P74"/>
        </row>
        <row r="75">
          <cell r="B75" t="str">
            <v xml:space="preserve">- Kinh phí thực hiện Chương trình khuyến công địa phương </v>
          </cell>
          <cell r="C75">
            <v>3000</v>
          </cell>
          <cell r="D75"/>
          <cell r="E75">
            <v>3000</v>
          </cell>
          <cell r="F75"/>
          <cell r="G75"/>
          <cell r="H75"/>
          <cell r="I75"/>
          <cell r="J75"/>
          <cell r="K75"/>
          <cell r="L75"/>
          <cell r="M75"/>
          <cell r="N75"/>
          <cell r="O75"/>
          <cell r="P75"/>
        </row>
        <row r="76">
          <cell r="B76" t="str">
            <v>- Kinh phí thực Chương trình sử dụng năng lượng tiết kiệm và hiệu quả</v>
          </cell>
          <cell r="C76">
            <v>1500</v>
          </cell>
          <cell r="D76"/>
          <cell r="E76">
            <v>1500</v>
          </cell>
          <cell r="F76"/>
          <cell r="G76"/>
          <cell r="H76"/>
          <cell r="I76"/>
          <cell r="J76"/>
          <cell r="K76"/>
          <cell r="L76"/>
          <cell r="M76"/>
          <cell r="N76"/>
          <cell r="O76"/>
          <cell r="P76"/>
        </row>
        <row r="77">
          <cell r="B77" t="str">
            <v>- Kinh phí Hoạt động Xúc tiến thương mại</v>
          </cell>
          <cell r="C77">
            <v>10000</v>
          </cell>
          <cell r="D77"/>
          <cell r="E77">
            <v>10000</v>
          </cell>
          <cell r="F77"/>
          <cell r="G77"/>
          <cell r="H77"/>
          <cell r="I77"/>
          <cell r="J77"/>
          <cell r="K77"/>
          <cell r="L77"/>
          <cell r="M77"/>
          <cell r="N77"/>
          <cell r="O77"/>
          <cell r="P77"/>
        </row>
        <row r="78">
          <cell r="B78" t="str">
            <v>- Kinh phí Hoạt động Xúc tiến Đầu tư</v>
          </cell>
          <cell r="C78">
            <v>5000</v>
          </cell>
          <cell r="D78"/>
          <cell r="E78">
            <v>5000</v>
          </cell>
          <cell r="F78"/>
          <cell r="G78"/>
          <cell r="H78"/>
          <cell r="I78"/>
          <cell r="J78"/>
          <cell r="K78"/>
          <cell r="L78"/>
          <cell r="M78"/>
          <cell r="N78"/>
          <cell r="O78"/>
          <cell r="P78"/>
        </row>
        <row r="79">
          <cell r="B79" t="str">
            <v xml:space="preserve">- Kinh phí sửa chữa trụ sở, tăng cường cơ sở vật chất và thực hiện các nhiệm vụ ngành tài chính </v>
          </cell>
          <cell r="C79">
            <v>15000</v>
          </cell>
          <cell r="D79">
            <v>15000</v>
          </cell>
          <cell r="E79"/>
          <cell r="F79"/>
          <cell r="G79"/>
          <cell r="H79"/>
          <cell r="I79"/>
          <cell r="J79"/>
          <cell r="K79"/>
          <cell r="L79"/>
          <cell r="M79"/>
          <cell r="N79"/>
          <cell r="O79"/>
          <cell r="P79"/>
        </row>
        <row r="80">
          <cell r="B80" t="str">
            <v xml:space="preserve">- Kinh phí thực hiện nhiệm vụ tập huấn, bồi dưỡng nghiệp vụ chuyên môn đối với cán bộ, công chức, viên chức </v>
          </cell>
          <cell r="C80">
            <v>1000</v>
          </cell>
          <cell r="D80"/>
          <cell r="E80"/>
          <cell r="F80"/>
          <cell r="G80">
            <v>1000</v>
          </cell>
          <cell r="H80"/>
          <cell r="I80"/>
          <cell r="J80"/>
          <cell r="K80"/>
          <cell r="L80"/>
          <cell r="M80"/>
          <cell r="N80"/>
          <cell r="O80"/>
          <cell r="P80"/>
        </row>
        <row r="81">
          <cell r="B81" t="str">
            <v xml:space="preserve">Văn phòng Đoàn ĐBQH &amp; Hội đồng nhân dân tỉnh </v>
          </cell>
          <cell r="C81">
            <v>69339.775280000002</v>
          </cell>
          <cell r="D81">
            <v>63047.775280000002</v>
          </cell>
          <cell r="E81">
            <v>0</v>
          </cell>
          <cell r="F81">
            <v>0</v>
          </cell>
          <cell r="G81">
            <v>5835</v>
          </cell>
          <cell r="H81">
            <v>0</v>
          </cell>
          <cell r="I81">
            <v>0</v>
          </cell>
          <cell r="J81">
            <v>0</v>
          </cell>
          <cell r="K81">
            <v>0</v>
          </cell>
          <cell r="L81">
            <v>457</v>
          </cell>
          <cell r="M81">
            <v>0</v>
          </cell>
          <cell r="N81">
            <v>0</v>
          </cell>
          <cell r="O81">
            <v>0</v>
          </cell>
          <cell r="P81">
            <v>0</v>
          </cell>
        </row>
        <row r="82">
          <cell r="B82" t="str">
            <v>Cơ quan Ủy ban Mặt trận Tổ quốc Việt Nam và các tổ chức chính trị xã hội, các hội quần chúng do Đảng, Nhà nước giao nhiệm vụ trực thuộc</v>
          </cell>
          <cell r="C82">
            <v>134517.39651600001</v>
          </cell>
          <cell r="D82">
            <v>110868.97372800001</v>
          </cell>
          <cell r="E82">
            <v>7694.6627879999996</v>
          </cell>
          <cell r="F82">
            <v>0</v>
          </cell>
          <cell r="G82">
            <v>5240</v>
          </cell>
          <cell r="H82">
            <v>0</v>
          </cell>
          <cell r="I82">
            <v>2062.7600000000002</v>
          </cell>
          <cell r="J82">
            <v>7800</v>
          </cell>
          <cell r="K82">
            <v>0</v>
          </cell>
          <cell r="L82">
            <v>851</v>
          </cell>
          <cell r="M82">
            <v>0</v>
          </cell>
          <cell r="N82">
            <v>0</v>
          </cell>
          <cell r="O82">
            <v>0</v>
          </cell>
          <cell r="P82">
            <v>0</v>
          </cell>
        </row>
        <row r="83">
          <cell r="B83" t="str">
            <v xml:space="preserve">Trong đó: </v>
          </cell>
          <cell r="C83"/>
          <cell r="D83"/>
          <cell r="E83"/>
          <cell r="F83"/>
          <cell r="G83"/>
          <cell r="H83"/>
          <cell r="I83"/>
          <cell r="J83"/>
          <cell r="K83"/>
          <cell r="L83"/>
          <cell r="M83"/>
          <cell r="N83"/>
          <cell r="O83"/>
          <cell r="P83"/>
        </row>
        <row r="84">
          <cell r="B84" t="str">
            <v xml:space="preserve">- Kinh phí chi tập huấn, bồi dưỡng nghiệp vụ chuyên môn ngành Mặt trận Tổ quốc </v>
          </cell>
          <cell r="C84">
            <v>5000</v>
          </cell>
          <cell r="D84"/>
          <cell r="E84"/>
          <cell r="F84"/>
          <cell r="G84">
            <v>5000</v>
          </cell>
          <cell r="H84"/>
          <cell r="I84"/>
          <cell r="J84"/>
          <cell r="K84"/>
          <cell r="L84"/>
          <cell r="M84"/>
          <cell r="N84"/>
          <cell r="O84"/>
          <cell r="P84"/>
        </row>
        <row r="85">
          <cell r="B85" t="str">
            <v>- Kinh phí thực hiện công tác tuyên truyền đối với Cơ quan Mặt trận tổ quốc Việt Nam và các tổ chức chính trị xã hội, các hội quần chúng do Đảng, Nhà nước giao nhiệm vụ</v>
          </cell>
          <cell r="C85">
            <v>7800</v>
          </cell>
          <cell r="D85"/>
          <cell r="E85"/>
          <cell r="F85"/>
          <cell r="G85"/>
          <cell r="H85"/>
          <cell r="I85"/>
          <cell r="J85">
            <v>7800</v>
          </cell>
          <cell r="K85"/>
          <cell r="L85"/>
          <cell r="M85"/>
          <cell r="N85"/>
          <cell r="O85"/>
          <cell r="P85"/>
        </row>
        <row r="86">
          <cell r="B86" t="str">
            <v>Trường Chính trị</v>
          </cell>
          <cell r="C86">
            <v>39044</v>
          </cell>
          <cell r="D86">
            <v>0</v>
          </cell>
          <cell r="E86">
            <v>0</v>
          </cell>
          <cell r="F86">
            <v>0</v>
          </cell>
          <cell r="G86">
            <v>38654</v>
          </cell>
          <cell r="H86">
            <v>0</v>
          </cell>
          <cell r="I86">
            <v>390</v>
          </cell>
          <cell r="J86">
            <v>0</v>
          </cell>
          <cell r="K86">
            <v>0</v>
          </cell>
          <cell r="L86">
            <v>0</v>
          </cell>
          <cell r="M86">
            <v>0</v>
          </cell>
          <cell r="N86">
            <v>0</v>
          </cell>
          <cell r="O86">
            <v>0</v>
          </cell>
          <cell r="P86">
            <v>0</v>
          </cell>
        </row>
        <row r="87">
          <cell r="B87" t="str">
            <v>Trường Cao đẳng Nghề Yên Bái</v>
          </cell>
          <cell r="C87">
            <v>93001.701750985609</v>
          </cell>
          <cell r="D87">
            <v>0</v>
          </cell>
          <cell r="E87">
            <v>0</v>
          </cell>
          <cell r="F87">
            <v>0</v>
          </cell>
          <cell r="G87">
            <v>93002</v>
          </cell>
          <cell r="H87">
            <v>0</v>
          </cell>
          <cell r="I87">
            <v>0</v>
          </cell>
          <cell r="J87">
            <v>0</v>
          </cell>
          <cell r="K87">
            <v>0</v>
          </cell>
          <cell r="L87">
            <v>0</v>
          </cell>
          <cell r="M87">
            <v>0</v>
          </cell>
          <cell r="N87">
            <v>0</v>
          </cell>
          <cell r="O87">
            <v>0</v>
          </cell>
          <cell r="P87">
            <v>0</v>
          </cell>
        </row>
        <row r="88">
          <cell r="B88" t="str">
            <v xml:space="preserve">Trường Cao đẳng Lào Cai và đơn vị trực thuộc </v>
          </cell>
          <cell r="C88">
            <v>159045</v>
          </cell>
          <cell r="D88">
            <v>0</v>
          </cell>
          <cell r="E88">
            <v>0</v>
          </cell>
          <cell r="F88">
            <v>0</v>
          </cell>
          <cell r="G88">
            <v>159045</v>
          </cell>
          <cell r="H88">
            <v>0</v>
          </cell>
          <cell r="I88">
            <v>0</v>
          </cell>
          <cell r="J88">
            <v>0</v>
          </cell>
          <cell r="K88">
            <v>0</v>
          </cell>
          <cell r="L88">
            <v>0</v>
          </cell>
          <cell r="M88">
            <v>0</v>
          </cell>
          <cell r="N88">
            <v>0</v>
          </cell>
          <cell r="O88">
            <v>0</v>
          </cell>
          <cell r="P88">
            <v>0</v>
          </cell>
        </row>
        <row r="89">
          <cell r="B89" t="str">
            <v>Đại học Thái Nguyên (Phân hiệu Đại học Thái Nguyên tại Lào Cai)</v>
          </cell>
          <cell r="C89">
            <v>762</v>
          </cell>
          <cell r="D89">
            <v>0</v>
          </cell>
          <cell r="E89">
            <v>0</v>
          </cell>
          <cell r="F89">
            <v>0</v>
          </cell>
          <cell r="G89">
            <v>762</v>
          </cell>
          <cell r="H89">
            <v>0</v>
          </cell>
          <cell r="I89">
            <v>0</v>
          </cell>
          <cell r="J89">
            <v>0</v>
          </cell>
          <cell r="K89">
            <v>0</v>
          </cell>
          <cell r="L89">
            <v>0</v>
          </cell>
          <cell r="M89">
            <v>0</v>
          </cell>
          <cell r="N89">
            <v>0</v>
          </cell>
          <cell r="O89">
            <v>0</v>
          </cell>
          <cell r="P89">
            <v>0</v>
          </cell>
        </row>
        <row r="90">
          <cell r="B90" t="str">
            <v>Bộ Chỉ huy quân sự tỉnh</v>
          </cell>
          <cell r="C90">
            <v>783674</v>
          </cell>
          <cell r="D90">
            <v>0</v>
          </cell>
          <cell r="E90">
            <v>0</v>
          </cell>
          <cell r="F90">
            <v>0</v>
          </cell>
          <cell r="G90">
            <v>10023</v>
          </cell>
          <cell r="H90">
            <v>0</v>
          </cell>
          <cell r="I90">
            <v>0</v>
          </cell>
          <cell r="J90">
            <v>0</v>
          </cell>
          <cell r="K90">
            <v>0</v>
          </cell>
          <cell r="L90">
            <v>0</v>
          </cell>
          <cell r="M90">
            <v>0</v>
          </cell>
          <cell r="N90">
            <v>773651</v>
          </cell>
          <cell r="O90">
            <v>0</v>
          </cell>
          <cell r="P90">
            <v>0</v>
          </cell>
        </row>
        <row r="91">
          <cell r="B91" t="str">
            <v xml:space="preserve">Trong đó: </v>
          </cell>
          <cell r="C91"/>
          <cell r="D91"/>
          <cell r="E91"/>
          <cell r="F91"/>
          <cell r="G91"/>
          <cell r="H91"/>
          <cell r="I91"/>
          <cell r="J91"/>
          <cell r="K91"/>
          <cell r="L91"/>
          <cell r="M91"/>
          <cell r="N91"/>
          <cell r="O91"/>
          <cell r="P91"/>
        </row>
        <row r="92">
          <cell r="B92" t="str">
            <v>- Đào tạo cán bộ quân sự xã, phường, thị trấn</v>
          </cell>
          <cell r="C92">
            <v>10023</v>
          </cell>
          <cell r="D92"/>
          <cell r="E92"/>
          <cell r="F92"/>
          <cell r="G92">
            <v>10023</v>
          </cell>
          <cell r="H92"/>
          <cell r="I92"/>
          <cell r="J92"/>
          <cell r="K92"/>
          <cell r="L92"/>
          <cell r="M92"/>
          <cell r="N92"/>
          <cell r="O92"/>
          <cell r="P92"/>
        </row>
        <row r="93">
          <cell r="B93" t="str">
            <v>- Kinh phí thực hiện Luật Lực lượng Dự bị động viên</v>
          </cell>
          <cell r="C93">
            <v>92868.865300000005</v>
          </cell>
          <cell r="D93"/>
          <cell r="E93"/>
          <cell r="F93"/>
          <cell r="G93"/>
          <cell r="H93"/>
          <cell r="I93"/>
          <cell r="J93"/>
          <cell r="K93"/>
          <cell r="L93"/>
          <cell r="M93"/>
          <cell r="N93">
            <v>92868.865300000005</v>
          </cell>
          <cell r="O93"/>
          <cell r="P93"/>
        </row>
        <row r="94">
          <cell r="B94" t="str">
            <v>- Kinh phí thực hiện Luật Dân quân tự vệ</v>
          </cell>
          <cell r="C94">
            <v>417237</v>
          </cell>
          <cell r="D94"/>
          <cell r="E94"/>
          <cell r="F94"/>
          <cell r="G94"/>
          <cell r="H94"/>
          <cell r="I94"/>
          <cell r="J94"/>
          <cell r="K94"/>
          <cell r="L94"/>
          <cell r="M94"/>
          <cell r="N94">
            <v>417237</v>
          </cell>
          <cell r="O94"/>
          <cell r="P94"/>
        </row>
        <row r="95">
          <cell r="B95" t="str">
            <v>- Kinh phí đảm bảo tổ chức hoạt động phòng không nhân dân thuộc nhiệm vụ chi của địa phương</v>
          </cell>
          <cell r="C95">
            <v>25036.941800000001</v>
          </cell>
          <cell r="D95"/>
          <cell r="E95"/>
          <cell r="F95"/>
          <cell r="G95"/>
          <cell r="H95"/>
          <cell r="I95"/>
          <cell r="J95"/>
          <cell r="K95"/>
          <cell r="L95"/>
          <cell r="M95"/>
          <cell r="N95">
            <v>25036.941800000001</v>
          </cell>
          <cell r="O95"/>
          <cell r="P95"/>
        </row>
        <row r="96">
          <cell r="B96" t="str">
            <v>- Kinh phí Tổ chức xây dựng lực lượng và hỗ trợ hoạt động nắm tình hình an ninh chính trị và trật tự an toàn xã hội</v>
          </cell>
          <cell r="C96">
            <v>25846</v>
          </cell>
          <cell r="D96"/>
          <cell r="E96"/>
          <cell r="F96"/>
          <cell r="G96"/>
          <cell r="H96"/>
          <cell r="I96"/>
          <cell r="J96"/>
          <cell r="K96"/>
          <cell r="L96"/>
          <cell r="M96"/>
          <cell r="N96">
            <v>25846</v>
          </cell>
          <cell r="O96"/>
          <cell r="P96"/>
        </row>
        <row r="97">
          <cell r="B97" t="str">
            <v>- Kinh phí thực hiện Luật Nghĩa vụ quân sự, tuyển quân thuộc nhiệm vụ chi của địa phương</v>
          </cell>
          <cell r="C97">
            <v>14845</v>
          </cell>
          <cell r="D97"/>
          <cell r="E97"/>
          <cell r="F97"/>
          <cell r="G97"/>
          <cell r="H97"/>
          <cell r="I97"/>
          <cell r="J97"/>
          <cell r="K97"/>
          <cell r="L97"/>
          <cell r="M97"/>
          <cell r="N97">
            <v>14845</v>
          </cell>
          <cell r="O97"/>
          <cell r="P97"/>
        </row>
        <row r="98">
          <cell r="B98" t="str">
            <v>- Kinh phí Diễn tập phòng thủ dân sự cấp tỉnh; Diễn tập Các Ban Chỉ huy Phòng thu khu vực và Trung đoàn</v>
          </cell>
          <cell r="C98">
            <v>100000</v>
          </cell>
          <cell r="D98"/>
          <cell r="E98"/>
          <cell r="F98"/>
          <cell r="G98"/>
          <cell r="H98"/>
          <cell r="I98"/>
          <cell r="J98"/>
          <cell r="K98"/>
          <cell r="L98"/>
          <cell r="M98"/>
          <cell r="N98">
            <v>100000</v>
          </cell>
          <cell r="O98"/>
          <cell r="P98"/>
        </row>
        <row r="99">
          <cell r="B99" t="str">
            <v>Ban Chỉ huy bộ đội biên phòng</v>
          </cell>
          <cell r="C99">
            <v>45269</v>
          </cell>
          <cell r="D99">
            <v>0</v>
          </cell>
          <cell r="E99">
            <v>0</v>
          </cell>
          <cell r="F99">
            <v>0</v>
          </cell>
          <cell r="G99">
            <v>0</v>
          </cell>
          <cell r="H99">
            <v>0</v>
          </cell>
          <cell r="I99">
            <v>0</v>
          </cell>
          <cell r="J99">
            <v>0</v>
          </cell>
          <cell r="K99">
            <v>0</v>
          </cell>
          <cell r="L99">
            <v>0</v>
          </cell>
          <cell r="M99">
            <v>0</v>
          </cell>
          <cell r="N99">
            <v>45269</v>
          </cell>
          <cell r="O99">
            <v>0</v>
          </cell>
          <cell r="P99">
            <v>0</v>
          </cell>
        </row>
        <row r="100">
          <cell r="B100" t="str">
            <v xml:space="preserve">Trong đó: </v>
          </cell>
          <cell r="C100"/>
          <cell r="D100"/>
          <cell r="E100"/>
          <cell r="F100"/>
          <cell r="G100"/>
          <cell r="H100"/>
          <cell r="I100"/>
          <cell r="J100"/>
          <cell r="K100"/>
          <cell r="L100"/>
          <cell r="M100"/>
          <cell r="N100"/>
          <cell r="O100"/>
          <cell r="P100"/>
        </row>
        <row r="101">
          <cell r="B101" t="str">
            <v>- Thực hiện công tác quản lý biên giới, bảo vệ biên giới quốc gia, chủ quyền….; sửa chữa, bảo dưỡng đường tuần tra biên giới, công trình bảo vệ cột mốc biên giới thuộc phạm vi quản lý của địa phương</v>
          </cell>
          <cell r="C101">
            <v>14000</v>
          </cell>
          <cell r="D101"/>
          <cell r="E101"/>
          <cell r="F101"/>
          <cell r="G101"/>
          <cell r="H101"/>
          <cell r="I101"/>
          <cell r="J101"/>
          <cell r="K101"/>
          <cell r="L101"/>
          <cell r="M101"/>
          <cell r="N101">
            <v>14000</v>
          </cell>
          <cell r="O101"/>
          <cell r="P101"/>
        </row>
        <row r="102">
          <cell r="B102" t="str">
            <v>- Diễn tập và hội thao quốc phòng theo kế hoạch của địa phương</v>
          </cell>
          <cell r="C102">
            <v>2000</v>
          </cell>
          <cell r="D102"/>
          <cell r="E102"/>
          <cell r="F102"/>
          <cell r="G102"/>
          <cell r="H102"/>
          <cell r="I102"/>
          <cell r="J102"/>
          <cell r="K102"/>
          <cell r="L102"/>
          <cell r="M102"/>
          <cell r="N102">
            <v>2000</v>
          </cell>
          <cell r="O102"/>
          <cell r="P102"/>
        </row>
        <row r="103">
          <cell r="B103" t="str">
            <v>- Hỗ trợ kinh phí mua sắm, sửa chữa</v>
          </cell>
          <cell r="C103">
            <v>7918</v>
          </cell>
          <cell r="D103">
            <v>0</v>
          </cell>
          <cell r="E103">
            <v>0</v>
          </cell>
          <cell r="F103">
            <v>0</v>
          </cell>
          <cell r="G103">
            <v>0</v>
          </cell>
          <cell r="H103">
            <v>0</v>
          </cell>
          <cell r="I103">
            <v>0</v>
          </cell>
          <cell r="J103">
            <v>0</v>
          </cell>
          <cell r="K103">
            <v>0</v>
          </cell>
          <cell r="L103">
            <v>0</v>
          </cell>
          <cell r="M103">
            <v>0</v>
          </cell>
          <cell r="N103">
            <v>7918</v>
          </cell>
          <cell r="O103"/>
          <cell r="P103"/>
        </row>
        <row r="104">
          <cell r="B104" t="str">
            <v>Công an tỉnh</v>
          </cell>
          <cell r="C104">
            <v>79700</v>
          </cell>
          <cell r="D104">
            <v>0</v>
          </cell>
          <cell r="E104">
            <v>0</v>
          </cell>
          <cell r="F104">
            <v>0</v>
          </cell>
          <cell r="G104">
            <v>0</v>
          </cell>
          <cell r="H104">
            <v>0</v>
          </cell>
          <cell r="I104">
            <v>0</v>
          </cell>
          <cell r="J104">
            <v>0</v>
          </cell>
          <cell r="K104">
            <v>0</v>
          </cell>
          <cell r="L104">
            <v>0</v>
          </cell>
          <cell r="M104">
            <v>0</v>
          </cell>
          <cell r="N104">
            <v>79700</v>
          </cell>
          <cell r="O104">
            <v>0</v>
          </cell>
          <cell r="P104">
            <v>0</v>
          </cell>
        </row>
        <row r="105">
          <cell r="B105" t="str">
            <v xml:space="preserve">Trong đó: </v>
          </cell>
          <cell r="C105"/>
          <cell r="D105"/>
          <cell r="E105"/>
          <cell r="F105"/>
          <cell r="G105"/>
          <cell r="H105"/>
          <cell r="I105"/>
          <cell r="J105"/>
          <cell r="K105"/>
          <cell r="L105"/>
          <cell r="M105"/>
          <cell r="N105"/>
          <cell r="O105"/>
          <cell r="P105"/>
        </row>
        <row r="106">
          <cell r="B106" t="str">
            <v>- Kinh phí bảo đảm các nhiệm vụ thuộc lĩnh vực an ninh và trật tự, an toàn xã hội</v>
          </cell>
          <cell r="C106">
            <v>9600</v>
          </cell>
          <cell r="D106"/>
          <cell r="E106"/>
          <cell r="F106"/>
          <cell r="G106"/>
          <cell r="H106"/>
          <cell r="I106"/>
          <cell r="J106"/>
          <cell r="K106"/>
          <cell r="L106"/>
          <cell r="M106"/>
          <cell r="N106">
            <v>9600</v>
          </cell>
          <cell r="O106"/>
          <cell r="P106"/>
        </row>
        <row r="107">
          <cell r="B107" t="str">
            <v>- Kinh phí bảo đảm cho lực lượng an ninh trật tự ở cơ sở</v>
          </cell>
          <cell r="C107">
            <v>31726.799999999999</v>
          </cell>
          <cell r="D107"/>
          <cell r="E107"/>
          <cell r="F107"/>
          <cell r="G107"/>
          <cell r="H107"/>
          <cell r="I107"/>
          <cell r="J107"/>
          <cell r="K107"/>
          <cell r="L107"/>
          <cell r="M107"/>
          <cell r="N107">
            <v>31726.799999999999</v>
          </cell>
          <cell r="O107"/>
          <cell r="P107"/>
        </row>
        <row r="108">
          <cell r="B108" t="str">
            <v>- Kinh phí thực hiện công tác phong trào toàn dân bảo vệ an ninh Tổ quốc</v>
          </cell>
          <cell r="C108">
            <v>2729</v>
          </cell>
          <cell r="D108"/>
          <cell r="E108"/>
          <cell r="F108"/>
          <cell r="G108"/>
          <cell r="H108"/>
          <cell r="I108"/>
          <cell r="J108"/>
          <cell r="K108"/>
          <cell r="L108"/>
          <cell r="M108"/>
          <cell r="N108">
            <v>2729</v>
          </cell>
          <cell r="O108"/>
          <cell r="P108"/>
        </row>
        <row r="109">
          <cell r="B109" t="str">
            <v>- Kinh phí hỗ trợ hoạt động của Đảng bộ Công an tỉnh</v>
          </cell>
          <cell r="C109">
            <v>350</v>
          </cell>
          <cell r="D109"/>
          <cell r="E109"/>
          <cell r="F109"/>
          <cell r="G109"/>
          <cell r="H109"/>
          <cell r="I109"/>
          <cell r="J109"/>
          <cell r="K109"/>
          <cell r="L109"/>
          <cell r="M109"/>
          <cell r="N109">
            <v>350</v>
          </cell>
          <cell r="O109"/>
          <cell r="P109"/>
        </row>
        <row r="110">
          <cell r="B110" t="str">
            <v>- Kinh phí hỗ trợ công tác an ninh địa phương</v>
          </cell>
          <cell r="C110">
            <v>34762.275999999998</v>
          </cell>
          <cell r="D110"/>
          <cell r="E110"/>
          <cell r="F110"/>
          <cell r="G110"/>
          <cell r="H110"/>
          <cell r="I110"/>
          <cell r="J110"/>
          <cell r="K110"/>
          <cell r="L110"/>
          <cell r="M110"/>
          <cell r="N110">
            <v>34762.275999999998</v>
          </cell>
          <cell r="O110"/>
          <cell r="P110"/>
        </row>
        <row r="111">
          <cell r="B111" t="str">
            <v>- Kinh phí đặt hàng tuyên truyền trên sóng phát thanh, truyền hình tỉnh</v>
          </cell>
          <cell r="C111">
            <v>531.92400000000009</v>
          </cell>
          <cell r="D111"/>
          <cell r="E111"/>
          <cell r="F111"/>
          <cell r="G111"/>
          <cell r="H111"/>
          <cell r="I111"/>
          <cell r="J111"/>
          <cell r="K111"/>
          <cell r="L111"/>
          <cell r="M111"/>
          <cell r="N111">
            <v>531.92400000000009</v>
          </cell>
          <cell r="O111"/>
          <cell r="P111"/>
        </row>
        <row r="112">
          <cell r="B112" t="str">
            <v>Liên đoàn lao động tỉnh</v>
          </cell>
          <cell r="C112">
            <v>700</v>
          </cell>
          <cell r="D112">
            <v>0</v>
          </cell>
          <cell r="E112">
            <v>0</v>
          </cell>
          <cell r="F112">
            <v>0</v>
          </cell>
          <cell r="G112">
            <v>0</v>
          </cell>
          <cell r="H112">
            <v>0</v>
          </cell>
          <cell r="I112">
            <v>0</v>
          </cell>
          <cell r="J112">
            <v>0</v>
          </cell>
          <cell r="K112">
            <v>0</v>
          </cell>
          <cell r="L112">
            <v>0</v>
          </cell>
          <cell r="M112">
            <v>0</v>
          </cell>
          <cell r="N112">
            <v>0</v>
          </cell>
          <cell r="O112">
            <v>700</v>
          </cell>
          <cell r="P112">
            <v>0</v>
          </cell>
        </row>
        <row r="113">
          <cell r="B113" t="str">
            <v xml:space="preserve">Trong đó: </v>
          </cell>
          <cell r="C113"/>
          <cell r="D113"/>
          <cell r="E113"/>
          <cell r="F113"/>
          <cell r="G113"/>
          <cell r="H113"/>
          <cell r="I113"/>
          <cell r="J113"/>
          <cell r="K113"/>
          <cell r="L113"/>
          <cell r="M113"/>
          <cell r="N113"/>
          <cell r="O113"/>
          <cell r="P113"/>
        </row>
        <row r="114">
          <cell r="B114" t="str">
            <v>- Kinh phí tổ chức Tết sum vầy cho người lao động có hoàn cảnh khó khăn</v>
          </cell>
          <cell r="C114">
            <v>600</v>
          </cell>
          <cell r="D114"/>
          <cell r="E114"/>
          <cell r="F114"/>
          <cell r="G114"/>
          <cell r="H114"/>
          <cell r="I114"/>
          <cell r="J114"/>
          <cell r="K114"/>
          <cell r="L114"/>
          <cell r="M114"/>
          <cell r="N114"/>
          <cell r="O114">
            <v>600</v>
          </cell>
          <cell r="P114"/>
        </row>
        <row r="115">
          <cell r="B115" t="str">
            <v>- Kinh phí chi hoạt động của ban chỉ đạo phong trào toàn dân đoàn kết xây dựng đời sống văn hóa</v>
          </cell>
          <cell r="C115">
            <v>100</v>
          </cell>
          <cell r="D115"/>
          <cell r="E115"/>
          <cell r="F115"/>
          <cell r="G115"/>
          <cell r="H115"/>
          <cell r="I115"/>
          <cell r="J115"/>
          <cell r="K115"/>
          <cell r="L115"/>
          <cell r="M115"/>
          <cell r="N115"/>
          <cell r="O115">
            <v>100</v>
          </cell>
          <cell r="P115"/>
        </row>
        <row r="116">
          <cell r="B116" t="str">
            <v>Viện kiểm sát nhân dân</v>
          </cell>
          <cell r="C116">
            <v>1000</v>
          </cell>
          <cell r="D116">
            <v>0</v>
          </cell>
          <cell r="E116">
            <v>0</v>
          </cell>
          <cell r="F116">
            <v>0</v>
          </cell>
          <cell r="G116">
            <v>0</v>
          </cell>
          <cell r="H116">
            <v>0</v>
          </cell>
          <cell r="I116">
            <v>0</v>
          </cell>
          <cell r="J116">
            <v>0</v>
          </cell>
          <cell r="K116">
            <v>0</v>
          </cell>
          <cell r="L116">
            <v>0</v>
          </cell>
          <cell r="M116">
            <v>0</v>
          </cell>
          <cell r="N116">
            <v>0</v>
          </cell>
          <cell r="O116">
            <v>1000</v>
          </cell>
          <cell r="P116">
            <v>0</v>
          </cell>
        </row>
        <row r="117">
          <cell r="B117" t="str">
            <v xml:space="preserve">Trong đó: </v>
          </cell>
          <cell r="C117"/>
          <cell r="D117"/>
          <cell r="E117"/>
          <cell r="F117"/>
          <cell r="G117"/>
          <cell r="H117"/>
          <cell r="I117"/>
          <cell r="J117"/>
          <cell r="K117"/>
          <cell r="L117"/>
          <cell r="M117"/>
          <cell r="N117"/>
          <cell r="O117"/>
          <cell r="P117"/>
        </row>
        <row r="118">
          <cell r="B118" t="str">
            <v>Kinh phí thực hiện nhiệm vụ UBND tỉnh giao</v>
          </cell>
          <cell r="C118">
            <v>1000</v>
          </cell>
          <cell r="D118"/>
          <cell r="E118"/>
          <cell r="F118"/>
          <cell r="G118"/>
          <cell r="H118"/>
          <cell r="I118"/>
          <cell r="J118"/>
          <cell r="K118"/>
          <cell r="L118"/>
          <cell r="M118"/>
          <cell r="N118"/>
          <cell r="O118">
            <v>1000</v>
          </cell>
          <cell r="P118"/>
        </row>
        <row r="119">
          <cell r="B119" t="str">
            <v>Toà án nhân dân tỉnh</v>
          </cell>
          <cell r="C119">
            <v>912</v>
          </cell>
          <cell r="D119">
            <v>0</v>
          </cell>
          <cell r="E119">
            <v>0</v>
          </cell>
          <cell r="F119">
            <v>0</v>
          </cell>
          <cell r="G119">
            <v>0</v>
          </cell>
          <cell r="H119">
            <v>0</v>
          </cell>
          <cell r="I119">
            <v>0</v>
          </cell>
          <cell r="J119">
            <v>0</v>
          </cell>
          <cell r="K119">
            <v>0</v>
          </cell>
          <cell r="L119">
            <v>0</v>
          </cell>
          <cell r="M119">
            <v>0</v>
          </cell>
          <cell r="N119">
            <v>0</v>
          </cell>
          <cell r="O119">
            <v>912</v>
          </cell>
          <cell r="P119">
            <v>0</v>
          </cell>
        </row>
        <row r="120">
          <cell r="B120" t="str">
            <v xml:space="preserve">Trong đó: </v>
          </cell>
          <cell r="C120"/>
          <cell r="D120"/>
          <cell r="E120"/>
          <cell r="F120"/>
          <cell r="G120"/>
          <cell r="H120"/>
          <cell r="I120"/>
          <cell r="J120"/>
          <cell r="K120"/>
          <cell r="L120"/>
          <cell r="M120"/>
          <cell r="N120"/>
          <cell r="O120"/>
          <cell r="P120"/>
        </row>
        <row r="121">
          <cell r="B121" t="str">
            <v>- Kinh phí hỗ trợ phục vụ xét xử</v>
          </cell>
          <cell r="C121">
            <v>532.94000000000005</v>
          </cell>
          <cell r="D121"/>
          <cell r="E121"/>
          <cell r="F121"/>
          <cell r="G121"/>
          <cell r="H121"/>
          <cell r="I121"/>
          <cell r="J121"/>
          <cell r="K121"/>
          <cell r="L121"/>
          <cell r="M121"/>
          <cell r="N121"/>
          <cell r="O121">
            <v>532.94000000000005</v>
          </cell>
          <cell r="P121"/>
        </row>
        <row r="122">
          <cell r="B122" t="str">
            <v>- Kinh phí chi hỗ trợ hoạt động Hội thẩm nhân dân theo Luật Tổ chức Toà án nhân dân</v>
          </cell>
          <cell r="C122">
            <v>249</v>
          </cell>
          <cell r="D122"/>
          <cell r="E122"/>
          <cell r="F122"/>
          <cell r="G122"/>
          <cell r="H122"/>
          <cell r="I122"/>
          <cell r="J122"/>
          <cell r="K122"/>
          <cell r="L122"/>
          <cell r="M122"/>
          <cell r="N122"/>
          <cell r="O122">
            <v>249</v>
          </cell>
          <cell r="P122"/>
        </row>
        <row r="123">
          <cell r="B123" t="str">
            <v>- Kinh phí thuê đường truyền và phần mềm phục vụ phiên tòa trực tuyến</v>
          </cell>
          <cell r="C123">
            <v>129.744</v>
          </cell>
          <cell r="D123"/>
          <cell r="E123"/>
          <cell r="F123"/>
          <cell r="G123"/>
          <cell r="H123"/>
          <cell r="I123"/>
          <cell r="J123"/>
          <cell r="K123"/>
          <cell r="L123"/>
          <cell r="M123"/>
          <cell r="N123"/>
          <cell r="O123">
            <v>129.744</v>
          </cell>
          <cell r="P123"/>
        </row>
        <row r="124">
          <cell r="B124" t="str">
            <v>Kho bạc nhà nước khu vực IX</v>
          </cell>
          <cell r="C124">
            <v>800</v>
          </cell>
          <cell r="D124">
            <v>0</v>
          </cell>
          <cell r="E124">
            <v>0</v>
          </cell>
          <cell r="F124">
            <v>0</v>
          </cell>
          <cell r="G124">
            <v>0</v>
          </cell>
          <cell r="H124">
            <v>0</v>
          </cell>
          <cell r="I124">
            <v>0</v>
          </cell>
          <cell r="J124">
            <v>0</v>
          </cell>
          <cell r="K124">
            <v>0</v>
          </cell>
          <cell r="L124">
            <v>0</v>
          </cell>
          <cell r="M124">
            <v>0</v>
          </cell>
          <cell r="N124">
            <v>0</v>
          </cell>
          <cell r="O124">
            <v>800</v>
          </cell>
          <cell r="P124">
            <v>0</v>
          </cell>
        </row>
        <row r="125">
          <cell r="B125" t="str">
            <v xml:space="preserve">Trong đó: </v>
          </cell>
          <cell r="C125"/>
          <cell r="D125"/>
          <cell r="E125"/>
          <cell r="F125"/>
          <cell r="G125"/>
          <cell r="H125"/>
          <cell r="I125"/>
          <cell r="J125"/>
          <cell r="K125"/>
          <cell r="L125"/>
          <cell r="M125"/>
          <cell r="N125"/>
          <cell r="O125"/>
          <cell r="P125"/>
        </row>
        <row r="126">
          <cell r="B126" t="str">
            <v>Kinh phí thực hiện nhiệm vụ UBND tỉnh giao</v>
          </cell>
          <cell r="C126">
            <v>800</v>
          </cell>
          <cell r="D126"/>
          <cell r="E126"/>
          <cell r="F126"/>
          <cell r="G126"/>
          <cell r="H126"/>
          <cell r="I126"/>
          <cell r="J126"/>
          <cell r="K126"/>
          <cell r="L126"/>
          <cell r="M126"/>
          <cell r="N126"/>
          <cell r="O126">
            <v>800</v>
          </cell>
          <cell r="P126"/>
        </row>
        <row r="127">
          <cell r="B127" t="str">
            <v>Thống kê tỉnh</v>
          </cell>
          <cell r="C127">
            <v>1886</v>
          </cell>
          <cell r="D127">
            <v>0</v>
          </cell>
          <cell r="E127">
            <v>0</v>
          </cell>
          <cell r="F127">
            <v>0</v>
          </cell>
          <cell r="G127">
            <v>0</v>
          </cell>
          <cell r="H127">
            <v>0</v>
          </cell>
          <cell r="I127">
            <v>0</v>
          </cell>
          <cell r="J127">
            <v>0</v>
          </cell>
          <cell r="K127">
            <v>0</v>
          </cell>
          <cell r="L127">
            <v>0</v>
          </cell>
          <cell r="M127">
            <v>0</v>
          </cell>
          <cell r="N127">
            <v>0</v>
          </cell>
          <cell r="O127">
            <v>1886</v>
          </cell>
          <cell r="P127">
            <v>0</v>
          </cell>
        </row>
        <row r="128">
          <cell r="B128" t="str">
            <v xml:space="preserve">Trong đó: </v>
          </cell>
          <cell r="C128"/>
          <cell r="D128"/>
          <cell r="E128"/>
          <cell r="F128"/>
          <cell r="G128"/>
          <cell r="H128"/>
          <cell r="I128"/>
          <cell r="J128"/>
          <cell r="K128"/>
          <cell r="L128"/>
          <cell r="M128"/>
          <cell r="N128"/>
          <cell r="O128"/>
          <cell r="P128"/>
        </row>
        <row r="129">
          <cell r="B129" t="str">
            <v>- Kinh phí thu thập thông tin, biên soạn, in ấn niên giám thống kê hàng năm</v>
          </cell>
          <cell r="C129">
            <v>360</v>
          </cell>
          <cell r="D129"/>
          <cell r="E129"/>
          <cell r="F129"/>
          <cell r="G129"/>
          <cell r="H129"/>
          <cell r="I129"/>
          <cell r="J129"/>
          <cell r="K129"/>
          <cell r="L129"/>
          <cell r="M129"/>
          <cell r="N129"/>
          <cell r="O129">
            <v>360</v>
          </cell>
          <cell r="P129"/>
        </row>
        <row r="130">
          <cell r="B130" t="str">
            <v>- Kinh phí thu thập thông tin, biên soạn, in ấn tờ gấp số liệu kinh tế xã hội chủ yếu 6 tháng và cả năm phục vụ kỳ họp HĐND tỉnh</v>
          </cell>
          <cell r="C130">
            <v>225</v>
          </cell>
          <cell r="D130"/>
          <cell r="E130"/>
          <cell r="F130"/>
          <cell r="G130"/>
          <cell r="H130"/>
          <cell r="I130"/>
          <cell r="J130"/>
          <cell r="K130"/>
          <cell r="L130"/>
          <cell r="M130"/>
          <cell r="N130"/>
          <cell r="O130">
            <v>225</v>
          </cell>
          <cell r="P130"/>
        </row>
        <row r="131">
          <cell r="B131" t="str">
            <v>- Kinh phí khảo sát chỉ số hạnh phúc theo kế hoạch của tỉnh</v>
          </cell>
          <cell r="C131">
            <v>1200</v>
          </cell>
          <cell r="D131"/>
          <cell r="E131"/>
          <cell r="F131"/>
          <cell r="G131"/>
          <cell r="H131"/>
          <cell r="I131"/>
          <cell r="J131"/>
          <cell r="K131"/>
          <cell r="L131"/>
          <cell r="M131"/>
          <cell r="N131"/>
          <cell r="O131">
            <v>1200</v>
          </cell>
          <cell r="P131"/>
        </row>
        <row r="132">
          <cell r="B132" t="str">
            <v xml:space="preserve">- Kinh phí thu thập, tổng hợp số liệu, đánh giá tiêu chí số 10 - thu nhập bình quân đầu người đối với các xã phấn đấu đạt chuẩn nông thôn mới, nông thôn mới nâng cao, nông thôn mới kiểu mẫu </v>
          </cell>
          <cell r="C132">
            <v>101</v>
          </cell>
          <cell r="D132"/>
          <cell r="E132"/>
          <cell r="F132"/>
          <cell r="G132"/>
          <cell r="H132"/>
          <cell r="I132"/>
          <cell r="J132"/>
          <cell r="K132"/>
          <cell r="L132"/>
          <cell r="M132"/>
          <cell r="N132"/>
          <cell r="O132">
            <v>101</v>
          </cell>
          <cell r="P132"/>
        </row>
        <row r="133">
          <cell r="B133" t="str">
            <v>Thi hành án dân sự tỉnh</v>
          </cell>
          <cell r="C133">
            <v>1000</v>
          </cell>
          <cell r="D133">
            <v>0</v>
          </cell>
          <cell r="E133">
            <v>0</v>
          </cell>
          <cell r="F133">
            <v>0</v>
          </cell>
          <cell r="G133">
            <v>0</v>
          </cell>
          <cell r="H133">
            <v>0</v>
          </cell>
          <cell r="I133">
            <v>0</v>
          </cell>
          <cell r="J133">
            <v>0</v>
          </cell>
          <cell r="K133">
            <v>0</v>
          </cell>
          <cell r="L133">
            <v>0</v>
          </cell>
          <cell r="M133">
            <v>0</v>
          </cell>
          <cell r="N133">
            <v>0</v>
          </cell>
          <cell r="O133">
            <v>1000</v>
          </cell>
          <cell r="P133">
            <v>0</v>
          </cell>
        </row>
        <row r="134">
          <cell r="B134" t="str">
            <v xml:space="preserve">Trong đó: </v>
          </cell>
          <cell r="C134"/>
          <cell r="D134"/>
          <cell r="E134"/>
          <cell r="F134"/>
          <cell r="G134"/>
          <cell r="H134"/>
          <cell r="I134"/>
          <cell r="J134"/>
          <cell r="K134"/>
          <cell r="L134"/>
          <cell r="M134"/>
          <cell r="N134"/>
          <cell r="O134"/>
          <cell r="P134"/>
        </row>
        <row r="135">
          <cell r="B135" t="str">
            <v>- Chi hoạt động Ban chỉ đạo thi hành án dân sự cấp tỉnh theo Thông tư liên tịch số 05/2016/TTLT-BTP-BCA-BTC-TANDTC-VKSNDTC ngày 19/5/2016 của Bộ Tư pháp, Bộ Công an, Bộ Tài chính, Toà án nhân dân tối cao, Viện Kiểm sát nhân dân tối cao</v>
          </cell>
          <cell r="C135">
            <v>200</v>
          </cell>
          <cell r="D135"/>
          <cell r="E135"/>
          <cell r="F135"/>
          <cell r="G135"/>
          <cell r="H135"/>
          <cell r="I135"/>
          <cell r="J135"/>
          <cell r="K135"/>
          <cell r="L135"/>
          <cell r="M135"/>
          <cell r="N135"/>
          <cell r="O135">
            <v>200</v>
          </cell>
          <cell r="P135"/>
        </row>
        <row r="136">
          <cell r="B136" t="str">
            <v>- Kinh phí thực hiện Chỉ thị số 01/CT-TU ngày 04/11/2025 của Ban Thường vụ Tỉnh ủy lào Cai về tăng cường sự lãnh đạo của Đảng đối với công tác thi hành án dân sự, thi hành án hành chính trên địa bàn tỉnh Lào Cai</v>
          </cell>
          <cell r="C136">
            <v>500</v>
          </cell>
          <cell r="D136"/>
          <cell r="E136"/>
          <cell r="F136"/>
          <cell r="G136"/>
          <cell r="H136"/>
          <cell r="I136"/>
          <cell r="J136"/>
          <cell r="K136"/>
          <cell r="L136"/>
          <cell r="M136"/>
          <cell r="N136"/>
          <cell r="O136">
            <v>500</v>
          </cell>
          <cell r="P136"/>
        </row>
        <row r="137">
          <cell r="B137" t="str">
            <v>- Kinh phí tuyên truyền, phổ biến, truyền thông chính sách, pháp luật về thi hành án dân sự, thi hành án hành chính</v>
          </cell>
          <cell r="C137">
            <v>300</v>
          </cell>
          <cell r="D137"/>
          <cell r="E137"/>
          <cell r="F137"/>
          <cell r="G137"/>
          <cell r="H137"/>
          <cell r="I137"/>
          <cell r="J137"/>
          <cell r="K137"/>
          <cell r="L137"/>
          <cell r="M137"/>
          <cell r="N137"/>
          <cell r="O137">
            <v>300</v>
          </cell>
          <cell r="P137"/>
        </row>
        <row r="138">
          <cell r="B138" t="str">
            <v>Chi thực hiện các chính sách, nhiệm vụ khác của ngân sách cấp tỉnh</v>
          </cell>
          <cell r="C138">
            <v>5907436.9000000004</v>
          </cell>
          <cell r="D138">
            <v>149100</v>
          </cell>
          <cell r="E138">
            <v>282419</v>
          </cell>
          <cell r="F138">
            <v>0</v>
          </cell>
          <cell r="G138">
            <v>1616674.4000000001</v>
          </cell>
          <cell r="H138">
            <v>1143885.5</v>
          </cell>
          <cell r="I138">
            <v>132864</v>
          </cell>
          <cell r="J138">
            <v>50000</v>
          </cell>
          <cell r="K138">
            <v>0</v>
          </cell>
          <cell r="L138">
            <v>0</v>
          </cell>
          <cell r="M138">
            <v>579693</v>
          </cell>
          <cell r="N138">
            <v>14411</v>
          </cell>
          <cell r="O138">
            <v>38388</v>
          </cell>
          <cell r="P138">
            <v>1900002</v>
          </cell>
        </row>
        <row r="139">
          <cell r="B139" t="str">
            <v xml:space="preserve">- Kinh phí thực hiện đổi mới, sắp xếp tổ chức bộ máy của hệ thống chính trị </v>
          </cell>
          <cell r="C139">
            <v>10000</v>
          </cell>
          <cell r="D139">
            <v>0</v>
          </cell>
          <cell r="E139">
            <v>0</v>
          </cell>
          <cell r="F139">
            <v>0</v>
          </cell>
          <cell r="G139">
            <v>0</v>
          </cell>
          <cell r="H139">
            <v>0</v>
          </cell>
          <cell r="I139">
            <v>0</v>
          </cell>
          <cell r="J139">
            <v>0</v>
          </cell>
          <cell r="K139">
            <v>0</v>
          </cell>
          <cell r="L139">
            <v>0</v>
          </cell>
          <cell r="M139">
            <v>0</v>
          </cell>
          <cell r="N139">
            <v>0</v>
          </cell>
          <cell r="O139">
            <v>0</v>
          </cell>
          <cell r="P139">
            <v>10000</v>
          </cell>
        </row>
        <row r="140">
          <cell r="B140" t="str">
            <v>- Hoạt động của Ban chỉ đạo 389 tỉnh</v>
          </cell>
          <cell r="C140">
            <v>300</v>
          </cell>
          <cell r="D140">
            <v>300</v>
          </cell>
          <cell r="E140">
            <v>0</v>
          </cell>
          <cell r="F140">
            <v>0</v>
          </cell>
          <cell r="G140">
            <v>0</v>
          </cell>
          <cell r="H140">
            <v>0</v>
          </cell>
          <cell r="I140">
            <v>0</v>
          </cell>
          <cell r="J140">
            <v>0</v>
          </cell>
          <cell r="K140">
            <v>0</v>
          </cell>
          <cell r="L140">
            <v>0</v>
          </cell>
          <cell r="M140">
            <v>0</v>
          </cell>
          <cell r="N140">
            <v>0</v>
          </cell>
          <cell r="O140">
            <v>0</v>
          </cell>
          <cell r="P140">
            <v>0</v>
          </cell>
        </row>
        <row r="141">
          <cell r="B141" t="str">
            <v>- Kinh phí tuyển mới giáo viên và 10% tiết kiệm chi thường xuyên</v>
          </cell>
          <cell r="C141">
            <v>410839</v>
          </cell>
          <cell r="D141">
            <v>0</v>
          </cell>
          <cell r="E141">
            <v>0</v>
          </cell>
          <cell r="F141">
            <v>0</v>
          </cell>
          <cell r="G141">
            <v>410839</v>
          </cell>
          <cell r="H141">
            <v>0</v>
          </cell>
          <cell r="I141">
            <v>0</v>
          </cell>
          <cell r="J141">
            <v>0</v>
          </cell>
          <cell r="K141">
            <v>0</v>
          </cell>
          <cell r="L141">
            <v>0</v>
          </cell>
          <cell r="M141">
            <v>0</v>
          </cell>
          <cell r="N141">
            <v>0</v>
          </cell>
          <cell r="O141">
            <v>0</v>
          </cell>
          <cell r="P141">
            <v>0</v>
          </cell>
        </row>
        <row r="142">
          <cell r="B142" t="str">
            <v>- Kinh phí thực hiện đề án, chính sách, nhiệm vu khác của tỉnh và 10% tiết kiệm chi thường xuyên</v>
          </cell>
          <cell r="C142">
            <v>2135194</v>
          </cell>
          <cell r="D142">
            <v>80000</v>
          </cell>
          <cell r="E142">
            <v>0</v>
          </cell>
          <cell r="F142">
            <v>0</v>
          </cell>
          <cell r="G142">
            <v>500000</v>
          </cell>
          <cell r="H142">
            <v>0</v>
          </cell>
          <cell r="I142">
            <v>0</v>
          </cell>
          <cell r="J142">
            <v>0</v>
          </cell>
          <cell r="K142">
            <v>0</v>
          </cell>
          <cell r="L142">
            <v>0</v>
          </cell>
          <cell r="M142">
            <v>0</v>
          </cell>
          <cell r="N142">
            <v>0</v>
          </cell>
          <cell r="O142">
            <v>0</v>
          </cell>
          <cell r="P142">
            <v>1555194</v>
          </cell>
        </row>
        <row r="143">
          <cell r="B143" t="str">
            <v>- Chế độ chính sách đối với đối vơi học sinh, sinh viên;  bảo hiểm y tế của các đối tượng và kinh phí bảo trợ xã hôi</v>
          </cell>
          <cell r="C143">
            <v>1999720.9000000001</v>
          </cell>
          <cell r="D143">
            <v>0</v>
          </cell>
          <cell r="E143">
            <v>0</v>
          </cell>
          <cell r="F143">
            <v>0</v>
          </cell>
          <cell r="G143">
            <v>705835.40000000014</v>
          </cell>
          <cell r="H143">
            <v>1143885.5</v>
          </cell>
          <cell r="I143">
            <v>0</v>
          </cell>
          <cell r="J143">
            <v>0</v>
          </cell>
          <cell r="K143">
            <v>0</v>
          </cell>
          <cell r="L143">
            <v>0</v>
          </cell>
          <cell r="M143">
            <v>150000</v>
          </cell>
          <cell r="N143">
            <v>0</v>
          </cell>
          <cell r="O143">
            <v>0</v>
          </cell>
          <cell r="P143">
            <v>0</v>
          </cell>
        </row>
        <row r="144">
          <cell r="B144" t="str">
            <v>- Hỗ trợ doanh nghiệp nhỏ và vừa (NSTW bổ sung có mục tiêu)</v>
          </cell>
          <cell r="C144">
            <v>2820</v>
          </cell>
          <cell r="D144">
            <v>0</v>
          </cell>
          <cell r="E144">
            <v>2820</v>
          </cell>
          <cell r="F144">
            <v>0</v>
          </cell>
          <cell r="G144">
            <v>0</v>
          </cell>
          <cell r="H144">
            <v>0</v>
          </cell>
          <cell r="I144">
            <v>0</v>
          </cell>
          <cell r="J144">
            <v>0</v>
          </cell>
          <cell r="K144">
            <v>0</v>
          </cell>
          <cell r="L144">
            <v>0</v>
          </cell>
          <cell r="M144">
            <v>0</v>
          </cell>
          <cell r="N144">
            <v>0</v>
          </cell>
          <cell r="O144">
            <v>0</v>
          </cell>
          <cell r="P144">
            <v>0</v>
          </cell>
        </row>
        <row r="145">
          <cell r="B145" t="str">
            <v>- Kinh phí thực hiện các chính sách của tỉnh thực hiện chương trình mục tiêu quốc gia xây dựng nông thôn mới và chính sách hỗ trợ phát triển sản xuất nông, lam nghiệp và thuỷ sản gắn với tái cơ cấu ngành nông nghiệp</v>
          </cell>
          <cell r="C145">
            <v>45000</v>
          </cell>
          <cell r="D145">
            <v>0</v>
          </cell>
          <cell r="E145">
            <v>45000</v>
          </cell>
          <cell r="F145">
            <v>0</v>
          </cell>
          <cell r="G145">
            <v>0</v>
          </cell>
          <cell r="H145">
            <v>0</v>
          </cell>
          <cell r="I145">
            <v>0</v>
          </cell>
          <cell r="J145">
            <v>0</v>
          </cell>
          <cell r="K145">
            <v>0</v>
          </cell>
          <cell r="L145">
            <v>0</v>
          </cell>
          <cell r="M145">
            <v>0</v>
          </cell>
          <cell r="N145">
            <v>0</v>
          </cell>
          <cell r="O145">
            <v>0</v>
          </cell>
          <cell r="P145">
            <v>0</v>
          </cell>
        </row>
        <row r="146">
          <cell r="B146" t="str">
            <v>- Thu hồi kinh phí theo Nghị định số 178/2024/NĐ-CP, Nghị định số 154/2025/NĐ-CP</v>
          </cell>
          <cell r="C146">
            <v>234808</v>
          </cell>
          <cell r="D146">
            <v>0</v>
          </cell>
          <cell r="E146">
            <v>0</v>
          </cell>
          <cell r="F146">
            <v>0</v>
          </cell>
          <cell r="G146">
            <v>0</v>
          </cell>
          <cell r="H146">
            <v>0</v>
          </cell>
          <cell r="I146">
            <v>0</v>
          </cell>
          <cell r="J146">
            <v>0</v>
          </cell>
          <cell r="K146">
            <v>0</v>
          </cell>
          <cell r="L146">
            <v>0</v>
          </cell>
          <cell r="M146">
            <v>0</v>
          </cell>
          <cell r="N146">
            <v>0</v>
          </cell>
          <cell r="O146">
            <v>0</v>
          </cell>
          <cell r="P146">
            <v>234808</v>
          </cell>
        </row>
        <row r="147">
          <cell r="B147" t="str">
            <v>- Kinh phí lập, thẩm định, phê duyệt và điều chỉnh quy hoạch đô thị, quy hoạch nông thôn, quy hoạch có tính chất kỹ thuật, chuyên ngành và điều chỉnh quy hoạch theo quy định khoản 2 Điều 1 Nghị quyết số 751/2019/UBTVQH14 ngày 16/8/2019 của Ủy ban Thường vụ Quốc hội</v>
          </cell>
          <cell r="C147">
            <v>50000</v>
          </cell>
          <cell r="D147">
            <v>0</v>
          </cell>
          <cell r="E147">
            <v>50000</v>
          </cell>
          <cell r="F147">
            <v>0</v>
          </cell>
          <cell r="G147">
            <v>0</v>
          </cell>
          <cell r="H147">
            <v>0</v>
          </cell>
          <cell r="I147">
            <v>0</v>
          </cell>
          <cell r="J147">
            <v>0</v>
          </cell>
          <cell r="K147">
            <v>0</v>
          </cell>
          <cell r="L147">
            <v>0</v>
          </cell>
          <cell r="M147">
            <v>0</v>
          </cell>
          <cell r="N147">
            <v>0</v>
          </cell>
          <cell r="O147">
            <v>0</v>
          </cell>
          <cell r="P147">
            <v>0</v>
          </cell>
        </row>
        <row r="148">
          <cell r="B148" t="str">
            <v>- Chi mua sắm, sửa chữa ô tô và máy móc, thiết bị; bảo trì trụ sở làm việc…</v>
          </cell>
          <cell r="C148">
            <v>100000</v>
          </cell>
          <cell r="D148">
            <v>0</v>
          </cell>
          <cell r="E148">
            <v>0</v>
          </cell>
          <cell r="F148">
            <v>0</v>
          </cell>
          <cell r="G148">
            <v>0</v>
          </cell>
          <cell r="H148">
            <v>0</v>
          </cell>
          <cell r="I148">
            <v>0</v>
          </cell>
          <cell r="J148">
            <v>0</v>
          </cell>
          <cell r="K148">
            <v>0</v>
          </cell>
          <cell r="L148">
            <v>0</v>
          </cell>
          <cell r="M148">
            <v>0</v>
          </cell>
          <cell r="N148">
            <v>0</v>
          </cell>
          <cell r="O148">
            <v>0</v>
          </cell>
          <cell r="P148">
            <v>100000</v>
          </cell>
        </row>
        <row r="149">
          <cell r="B149" t="str">
            <v xml:space="preserve">- Chi khác của ngân sách cấp tỉnh </v>
          </cell>
          <cell r="C149">
            <v>38388</v>
          </cell>
          <cell r="D149">
            <v>0</v>
          </cell>
          <cell r="E149">
            <v>0</v>
          </cell>
          <cell r="F149">
            <v>0</v>
          </cell>
          <cell r="G149">
            <v>0</v>
          </cell>
          <cell r="H149">
            <v>0</v>
          </cell>
          <cell r="I149">
            <v>0</v>
          </cell>
          <cell r="J149">
            <v>0</v>
          </cell>
          <cell r="K149">
            <v>0</v>
          </cell>
          <cell r="L149">
            <v>0</v>
          </cell>
          <cell r="M149">
            <v>0</v>
          </cell>
          <cell r="N149">
            <v>0</v>
          </cell>
          <cell r="O149">
            <v>38388</v>
          </cell>
          <cell r="P149">
            <v>0</v>
          </cell>
        </row>
        <row r="150">
          <cell r="B150" t="str">
            <v>- Kinh phí sản phẩm, dịch vụ công ích thuỷ lợi</v>
          </cell>
          <cell r="C150">
            <v>103638</v>
          </cell>
          <cell r="D150">
            <v>0</v>
          </cell>
          <cell r="E150">
            <v>103638</v>
          </cell>
          <cell r="F150">
            <v>0</v>
          </cell>
          <cell r="G150">
            <v>0</v>
          </cell>
          <cell r="H150">
            <v>0</v>
          </cell>
          <cell r="I150">
            <v>0</v>
          </cell>
          <cell r="J150">
            <v>0</v>
          </cell>
          <cell r="K150">
            <v>0</v>
          </cell>
          <cell r="L150">
            <v>0</v>
          </cell>
          <cell r="M150">
            <v>0</v>
          </cell>
          <cell r="N150">
            <v>0</v>
          </cell>
          <cell r="O150">
            <v>0</v>
          </cell>
          <cell r="P150">
            <v>0</v>
          </cell>
        </row>
        <row r="151">
          <cell r="B151" t="str">
            <v>- Chi xử lý vi phạm hành chính; chi trang trải cho hoạt động thu phí, lệ phí; chi từ nguồn kinh phí được trích từ các khoản thu hồi phát hiện qua công tác thanh tra (được chi theo số thu đã thực nộp vào ngân sách nhà nước)</v>
          </cell>
          <cell r="C151">
            <v>4000</v>
          </cell>
          <cell r="D151">
            <v>4000</v>
          </cell>
          <cell r="E151">
            <v>0</v>
          </cell>
          <cell r="F151">
            <v>0</v>
          </cell>
          <cell r="G151">
            <v>0</v>
          </cell>
          <cell r="H151">
            <v>0</v>
          </cell>
          <cell r="I151">
            <v>0</v>
          </cell>
          <cell r="J151">
            <v>0</v>
          </cell>
          <cell r="K151">
            <v>0</v>
          </cell>
          <cell r="L151">
            <v>0</v>
          </cell>
          <cell r="M151">
            <v>0</v>
          </cell>
          <cell r="N151">
            <v>0</v>
          </cell>
          <cell r="O151">
            <v>0</v>
          </cell>
          <cell r="P151">
            <v>0</v>
          </cell>
        </row>
        <row r="152">
          <cell r="B152" t="str">
            <v xml:space="preserve">- Chỉ kỷ niệm các ngày lễ lớn, các sự kiện chính trị lớn của tỉnh </v>
          </cell>
          <cell r="C152">
            <v>20000</v>
          </cell>
          <cell r="D152">
            <v>0</v>
          </cell>
          <cell r="E152">
            <v>0</v>
          </cell>
          <cell r="F152">
            <v>0</v>
          </cell>
          <cell r="G152">
            <v>0</v>
          </cell>
          <cell r="H152">
            <v>0</v>
          </cell>
          <cell r="I152">
            <v>0</v>
          </cell>
          <cell r="J152">
            <v>20000</v>
          </cell>
          <cell r="K152">
            <v>0</v>
          </cell>
          <cell r="L152">
            <v>0</v>
          </cell>
          <cell r="M152">
            <v>0</v>
          </cell>
          <cell r="N152">
            <v>0</v>
          </cell>
          <cell r="O152">
            <v>0</v>
          </cell>
          <cell r="P152">
            <v>0</v>
          </cell>
        </row>
        <row r="153">
          <cell r="B153" t="str">
            <v xml:space="preserve">- Kinh phí tuyên truyền của các cơ quan, đơn vị </v>
          </cell>
          <cell r="C153">
            <v>20000</v>
          </cell>
          <cell r="D153">
            <v>0</v>
          </cell>
          <cell r="E153">
            <v>0</v>
          </cell>
          <cell r="F153">
            <v>0</v>
          </cell>
          <cell r="G153">
            <v>0</v>
          </cell>
          <cell r="H153">
            <v>0</v>
          </cell>
          <cell r="I153">
            <v>0</v>
          </cell>
          <cell r="J153">
            <v>20000</v>
          </cell>
          <cell r="K153">
            <v>0</v>
          </cell>
          <cell r="L153">
            <v>0</v>
          </cell>
          <cell r="M153">
            <v>0</v>
          </cell>
          <cell r="N153">
            <v>0</v>
          </cell>
          <cell r="O153">
            <v>0</v>
          </cell>
          <cell r="P153">
            <v>0</v>
          </cell>
        </row>
        <row r="154">
          <cell r="B154" t="str">
            <v xml:space="preserve">- Chi hỗ trợ tổ chức các lễ hội du lịch </v>
          </cell>
          <cell r="C154">
            <v>10000</v>
          </cell>
          <cell r="D154">
            <v>0</v>
          </cell>
          <cell r="E154">
            <v>0</v>
          </cell>
          <cell r="F154">
            <v>0</v>
          </cell>
          <cell r="G154">
            <v>0</v>
          </cell>
          <cell r="H154">
            <v>0</v>
          </cell>
          <cell r="I154">
            <v>0</v>
          </cell>
          <cell r="J154">
            <v>10000</v>
          </cell>
          <cell r="K154">
            <v>0</v>
          </cell>
          <cell r="L154">
            <v>0</v>
          </cell>
          <cell r="M154">
            <v>0</v>
          </cell>
          <cell r="N154">
            <v>0</v>
          </cell>
          <cell r="O154">
            <v>0</v>
          </cell>
          <cell r="P154">
            <v>0</v>
          </cell>
        </row>
        <row r="155">
          <cell r="B155" t="str">
            <v>- Kinh phí thực hiện chính sách chế độ ưu đãi người có công với cách mạng (TW bổ sung có mục tiêu)</v>
          </cell>
          <cell r="C155">
            <v>417693</v>
          </cell>
          <cell r="D155">
            <v>0</v>
          </cell>
          <cell r="E155">
            <v>0</v>
          </cell>
          <cell r="F155">
            <v>0</v>
          </cell>
          <cell r="G155">
            <v>0</v>
          </cell>
          <cell r="H155">
            <v>0</v>
          </cell>
          <cell r="I155">
            <v>0</v>
          </cell>
          <cell r="J155">
            <v>0</v>
          </cell>
          <cell r="K155">
            <v>0</v>
          </cell>
          <cell r="L155">
            <v>0</v>
          </cell>
          <cell r="M155">
            <v>417693</v>
          </cell>
          <cell r="N155">
            <v>0</v>
          </cell>
          <cell r="O155">
            <v>0</v>
          </cell>
          <cell r="P155">
            <v>0</v>
          </cell>
        </row>
        <row r="156">
          <cell r="B156" t="str">
            <v>- Kinh phí thực hiện các dự án, hoạt động công nghệ thông tin, đổi mới sáng tạo, chuyển đổi số và đề án 06</v>
          </cell>
          <cell r="C156">
            <v>132864</v>
          </cell>
          <cell r="D156">
            <v>0</v>
          </cell>
          <cell r="E156">
            <v>0</v>
          </cell>
          <cell r="F156">
            <v>0</v>
          </cell>
          <cell r="G156">
            <v>0</v>
          </cell>
          <cell r="H156">
            <v>0</v>
          </cell>
          <cell r="I156">
            <v>132864</v>
          </cell>
          <cell r="J156">
            <v>0</v>
          </cell>
          <cell r="K156">
            <v>0</v>
          </cell>
          <cell r="L156">
            <v>0</v>
          </cell>
          <cell r="M156">
            <v>0</v>
          </cell>
          <cell r="N156">
            <v>0</v>
          </cell>
          <cell r="O156">
            <v>0</v>
          </cell>
          <cell r="P156">
            <v>0</v>
          </cell>
        </row>
        <row r="157">
          <cell r="B157" t="str">
            <v xml:space="preserve">- Kinh phí chỉnh lý tài liệu lưu trữ lịch sử </v>
          </cell>
          <cell r="C157">
            <v>10000</v>
          </cell>
          <cell r="D157">
            <v>0</v>
          </cell>
          <cell r="E157">
            <v>10000</v>
          </cell>
          <cell r="F157">
            <v>0</v>
          </cell>
          <cell r="G157">
            <v>0</v>
          </cell>
          <cell r="H157">
            <v>0</v>
          </cell>
          <cell r="I157">
            <v>0</v>
          </cell>
          <cell r="J157">
            <v>0</v>
          </cell>
          <cell r="K157">
            <v>0</v>
          </cell>
          <cell r="L157">
            <v>0</v>
          </cell>
          <cell r="M157">
            <v>0</v>
          </cell>
          <cell r="N157">
            <v>0</v>
          </cell>
          <cell r="O157">
            <v>0</v>
          </cell>
          <cell r="P157">
            <v>0</v>
          </cell>
        </row>
        <row r="158">
          <cell r="B158" t="str">
            <v xml:space="preserve">- Chi thăm hỏi người có công và các đối tượng chính sách xã hội trong các dịp lễ, tết, ngày kỉ niệm </v>
          </cell>
          <cell r="C158">
            <v>12000</v>
          </cell>
          <cell r="D158">
            <v>0</v>
          </cell>
          <cell r="E158">
            <v>0</v>
          </cell>
          <cell r="F158">
            <v>0</v>
          </cell>
          <cell r="G158">
            <v>0</v>
          </cell>
          <cell r="H158">
            <v>0</v>
          </cell>
          <cell r="I158">
            <v>0</v>
          </cell>
          <cell r="J158">
            <v>0</v>
          </cell>
          <cell r="K158">
            <v>0</v>
          </cell>
          <cell r="L158">
            <v>0</v>
          </cell>
          <cell r="M158">
            <v>12000</v>
          </cell>
          <cell r="N158">
            <v>0</v>
          </cell>
          <cell r="O158">
            <v>0</v>
          </cell>
          <cell r="P158">
            <v>0</v>
          </cell>
        </row>
        <row r="159">
          <cell r="B159" t="str">
            <v xml:space="preserve">- Kinh phí thực hiện công tác bầu cử đại biểu Hội đồng nhân dân các cấp </v>
          </cell>
          <cell r="C159">
            <v>50000</v>
          </cell>
          <cell r="D159">
            <v>50000</v>
          </cell>
          <cell r="E159">
            <v>0</v>
          </cell>
          <cell r="F159">
            <v>0</v>
          </cell>
          <cell r="G159">
            <v>0</v>
          </cell>
          <cell r="H159">
            <v>0</v>
          </cell>
          <cell r="I159">
            <v>0</v>
          </cell>
          <cell r="J159">
            <v>0</v>
          </cell>
          <cell r="K159">
            <v>0</v>
          </cell>
          <cell r="L159">
            <v>0</v>
          </cell>
          <cell r="M159">
            <v>0</v>
          </cell>
          <cell r="N159">
            <v>0</v>
          </cell>
          <cell r="O159">
            <v>0</v>
          </cell>
          <cell r="P159">
            <v>0</v>
          </cell>
        </row>
        <row r="160">
          <cell r="B160" t="str">
            <v xml:space="preserve">- Kinh phí tuyên truyền phổ biến giáo dục pháp luật, hoà giải ở cấp xã </v>
          </cell>
          <cell r="C160">
            <v>8800</v>
          </cell>
          <cell r="D160">
            <v>8800</v>
          </cell>
          <cell r="E160">
            <v>0</v>
          </cell>
          <cell r="F160">
            <v>0</v>
          </cell>
          <cell r="G160">
            <v>0</v>
          </cell>
          <cell r="H160">
            <v>0</v>
          </cell>
          <cell r="I160">
            <v>0</v>
          </cell>
          <cell r="J160">
            <v>0</v>
          </cell>
          <cell r="K160">
            <v>0</v>
          </cell>
          <cell r="L160">
            <v>0</v>
          </cell>
          <cell r="M160">
            <v>0</v>
          </cell>
          <cell r="N160">
            <v>0</v>
          </cell>
          <cell r="O160">
            <v>0</v>
          </cell>
          <cell r="P160">
            <v>0</v>
          </cell>
        </row>
        <row r="161">
          <cell r="B161" t="str">
            <v xml:space="preserve">- Kinh phí xây dựng văn bản quy phạm pháp luật </v>
          </cell>
          <cell r="C161">
            <v>6000</v>
          </cell>
          <cell r="D161">
            <v>6000</v>
          </cell>
          <cell r="E161">
            <v>0</v>
          </cell>
          <cell r="F161">
            <v>0</v>
          </cell>
          <cell r="G161">
            <v>0</v>
          </cell>
          <cell r="H161">
            <v>0</v>
          </cell>
          <cell r="I161">
            <v>0</v>
          </cell>
          <cell r="J161">
            <v>0</v>
          </cell>
          <cell r="K161">
            <v>0</v>
          </cell>
          <cell r="L161">
            <v>0</v>
          </cell>
          <cell r="M161">
            <v>0</v>
          </cell>
          <cell r="N161">
            <v>0</v>
          </cell>
          <cell r="O161">
            <v>0</v>
          </cell>
          <cell r="P161">
            <v>0</v>
          </cell>
        </row>
        <row r="162">
          <cell r="B162" t="str">
            <v>- Kinh phí bảo vệ và phát triển đất trồng lúa  (bao gồm cả TW bổ sung có mục tiêu)</v>
          </cell>
          <cell r="C162">
            <v>70961</v>
          </cell>
          <cell r="D162">
            <v>0</v>
          </cell>
          <cell r="E162">
            <v>70961</v>
          </cell>
          <cell r="F162">
            <v>0</v>
          </cell>
          <cell r="G162">
            <v>0</v>
          </cell>
          <cell r="H162">
            <v>0</v>
          </cell>
          <cell r="I162">
            <v>0</v>
          </cell>
          <cell r="J162">
            <v>0</v>
          </cell>
          <cell r="K162">
            <v>0</v>
          </cell>
          <cell r="L162">
            <v>0</v>
          </cell>
          <cell r="M162">
            <v>0</v>
          </cell>
          <cell r="N162">
            <v>0</v>
          </cell>
          <cell r="O162">
            <v>0</v>
          </cell>
          <cell r="P162">
            <v>0</v>
          </cell>
        </row>
        <row r="163">
          <cell r="B163" t="str">
            <v>- Bổ sung kinh phí thực hiện nhiệm vụ đảm bảo trật tự an toàn giao thông (TW bổ sung có mục tiêu)</v>
          </cell>
          <cell r="C163">
            <v>14411</v>
          </cell>
          <cell r="D163">
            <v>0</v>
          </cell>
          <cell r="E163">
            <v>0</v>
          </cell>
          <cell r="F163">
            <v>0</v>
          </cell>
          <cell r="G163">
            <v>0</v>
          </cell>
          <cell r="H163">
            <v>0</v>
          </cell>
          <cell r="I163">
            <v>0</v>
          </cell>
          <cell r="J163">
            <v>0</v>
          </cell>
          <cell r="K163">
            <v>0</v>
          </cell>
          <cell r="L163">
            <v>0</v>
          </cell>
          <cell r="M163">
            <v>0</v>
          </cell>
          <cell r="N163">
            <v>14411</v>
          </cell>
          <cell r="O163">
            <v>0</v>
          </cell>
          <cell r="P163">
            <v>0</v>
          </cell>
        </row>
      </sheetData>
      <sheetData sheetId="6"/>
      <sheetData sheetId="7"/>
      <sheetData sheetId="8"/>
      <sheetData sheetId="9">
        <row r="16">
          <cell r="B16" t="str">
            <v>TỔNG CỘNG</v>
          </cell>
          <cell r="C16">
            <v>23500000</v>
          </cell>
          <cell r="D16">
            <v>4385579.05</v>
          </cell>
          <cell r="E16">
            <v>2464579.0499999998</v>
          </cell>
          <cell r="F16">
            <v>2447119.0499999998</v>
          </cell>
          <cell r="G16">
            <v>17460</v>
          </cell>
          <cell r="H16">
            <v>1921000</v>
          </cell>
          <cell r="I16">
            <v>11076475.675477337</v>
          </cell>
          <cell r="J16">
            <v>8279263.4573942097</v>
          </cell>
          <cell r="K16">
            <v>2797212.2180831325</v>
          </cell>
          <cell r="L16">
            <v>15462054.725477338</v>
          </cell>
        </row>
        <row r="17">
          <cell r="B17" t="str">
            <v xml:space="preserve">Phường Cam Đường </v>
          </cell>
          <cell r="C17">
            <v>4101310</v>
          </cell>
          <cell r="D17">
            <v>470152.85</v>
          </cell>
          <cell r="E17">
            <v>300152.84999999998</v>
          </cell>
          <cell r="F17">
            <v>296888</v>
          </cell>
          <cell r="G17">
            <v>3264.8500000000004</v>
          </cell>
          <cell r="H17">
            <v>170000</v>
          </cell>
          <cell r="I17">
            <v>66406.599254008514</v>
          </cell>
          <cell r="J17">
            <v>-2.3351389681920409E-2</v>
          </cell>
          <cell r="K17">
            <v>66406.622605398195</v>
          </cell>
          <cell r="L17">
            <v>536559.44925400848</v>
          </cell>
        </row>
        <row r="18">
          <cell r="B18" t="str">
            <v xml:space="preserve">Phường Lào Cai </v>
          </cell>
          <cell r="C18">
            <v>3850140</v>
          </cell>
          <cell r="D18">
            <v>572186.05000000005</v>
          </cell>
          <cell r="E18">
            <v>402186.05</v>
          </cell>
          <cell r="F18">
            <v>399061.05</v>
          </cell>
          <cell r="G18">
            <v>3125</v>
          </cell>
          <cell r="H18">
            <v>170000</v>
          </cell>
          <cell r="I18">
            <v>96536.836236954623</v>
          </cell>
          <cell r="J18">
            <v>3.6236954620108008E-2</v>
          </cell>
          <cell r="K18">
            <v>96536.8</v>
          </cell>
          <cell r="L18">
            <v>668722.88623695471</v>
          </cell>
        </row>
        <row r="19">
          <cell r="B19" t="str">
            <v xml:space="preserve">Xã Cốc San </v>
          </cell>
          <cell r="C19">
            <v>52500</v>
          </cell>
          <cell r="D19">
            <v>10025</v>
          </cell>
          <cell r="E19">
            <v>10025</v>
          </cell>
          <cell r="F19">
            <v>10025</v>
          </cell>
          <cell r="G19">
            <v>0</v>
          </cell>
          <cell r="H19">
            <v>0</v>
          </cell>
          <cell r="I19">
            <v>100926.62972680424</v>
          </cell>
          <cell r="J19">
            <v>78935.474630186451</v>
          </cell>
          <cell r="K19">
            <v>21991.155096617797</v>
          </cell>
          <cell r="L19">
            <v>110951.62972680424</v>
          </cell>
        </row>
        <row r="20">
          <cell r="B20" t="str">
            <v xml:space="preserve">Xã Hợp Thành  </v>
          </cell>
          <cell r="C20">
            <v>25030</v>
          </cell>
          <cell r="D20">
            <v>8625</v>
          </cell>
          <cell r="E20">
            <v>8625</v>
          </cell>
          <cell r="F20">
            <v>8625</v>
          </cell>
          <cell r="G20">
            <v>0</v>
          </cell>
          <cell r="H20">
            <v>0</v>
          </cell>
          <cell r="I20">
            <v>90786.20586955559</v>
          </cell>
          <cell r="J20">
            <v>69999.888372798596</v>
          </cell>
          <cell r="K20">
            <v>20786.317496756998</v>
          </cell>
          <cell r="L20">
            <v>99411.20586955559</v>
          </cell>
        </row>
        <row r="21">
          <cell r="B21" t="str">
            <v xml:space="preserve">Xã Mường Bo </v>
          </cell>
          <cell r="C21">
            <v>930</v>
          </cell>
          <cell r="D21">
            <v>891</v>
          </cell>
          <cell r="E21">
            <v>891</v>
          </cell>
          <cell r="F21">
            <v>891</v>
          </cell>
          <cell r="G21">
            <v>0</v>
          </cell>
          <cell r="H21">
            <v>0</v>
          </cell>
          <cell r="I21">
            <v>86409.071947042146</v>
          </cell>
          <cell r="J21">
            <v>67819.524640851945</v>
          </cell>
          <cell r="K21">
            <v>18589.547306190198</v>
          </cell>
          <cell r="L21">
            <v>87300.071947042146</v>
          </cell>
        </row>
        <row r="22">
          <cell r="B22" t="str">
            <v xml:space="preserve">Xã Bản Hồ </v>
          </cell>
          <cell r="C22">
            <v>147000</v>
          </cell>
          <cell r="D22">
            <v>23475</v>
          </cell>
          <cell r="E22">
            <v>23475</v>
          </cell>
          <cell r="F22">
            <v>23475</v>
          </cell>
          <cell r="G22">
            <v>0</v>
          </cell>
          <cell r="H22">
            <v>0</v>
          </cell>
          <cell r="I22">
            <v>65882.163669576621</v>
          </cell>
          <cell r="J22">
            <v>46160.117213055826</v>
          </cell>
          <cell r="K22">
            <v>19722.046456520795</v>
          </cell>
          <cell r="L22">
            <v>89357.163669576621</v>
          </cell>
        </row>
        <row r="23">
          <cell r="B23" t="str">
            <v xml:space="preserve">Phường Sa Pa </v>
          </cell>
          <cell r="C23">
            <v>3684495</v>
          </cell>
          <cell r="D23">
            <v>528589.5</v>
          </cell>
          <cell r="E23">
            <v>188589.5</v>
          </cell>
          <cell r="F23">
            <v>188589.5</v>
          </cell>
          <cell r="G23">
            <v>0</v>
          </cell>
          <cell r="H23">
            <v>340000</v>
          </cell>
          <cell r="I23">
            <v>49896.416933837922</v>
          </cell>
          <cell r="J23">
            <v>-4.8199655604548752E-2</v>
          </cell>
          <cell r="K23">
            <v>49896.465133493526</v>
          </cell>
          <cell r="L23">
            <v>578485.91693383793</v>
          </cell>
        </row>
        <row r="24">
          <cell r="B24" t="str">
            <v xml:space="preserve">Xã Tả Phìn </v>
          </cell>
          <cell r="C24">
            <v>3400</v>
          </cell>
          <cell r="D24">
            <v>2090</v>
          </cell>
          <cell r="E24">
            <v>2090</v>
          </cell>
          <cell r="F24">
            <v>2090</v>
          </cell>
          <cell r="G24">
            <v>0</v>
          </cell>
          <cell r="H24">
            <v>0</v>
          </cell>
          <cell r="I24">
            <v>93815.068185051205</v>
          </cell>
          <cell r="J24">
            <v>70464.834988487215</v>
          </cell>
          <cell r="K24">
            <v>23350.233196563997</v>
          </cell>
          <cell r="L24">
            <v>95905.068185051205</v>
          </cell>
        </row>
        <row r="25">
          <cell r="B25" t="str">
            <v xml:space="preserve">Xã Tả Van </v>
          </cell>
          <cell r="C25">
            <v>9520</v>
          </cell>
          <cell r="D25">
            <v>6489</v>
          </cell>
          <cell r="E25">
            <v>6489</v>
          </cell>
          <cell r="F25">
            <v>6489</v>
          </cell>
          <cell r="G25">
            <v>0</v>
          </cell>
          <cell r="H25">
            <v>0</v>
          </cell>
          <cell r="I25">
            <v>145052.93101372916</v>
          </cell>
          <cell r="J25">
            <v>109593.80864413017</v>
          </cell>
          <cell r="K25">
            <v>35459.12236959899</v>
          </cell>
          <cell r="L25">
            <v>151541.93101372916</v>
          </cell>
        </row>
        <row r="26">
          <cell r="B26" t="str">
            <v>Xã Ngũ Chỉ Sơn</v>
          </cell>
          <cell r="C26">
            <v>1100</v>
          </cell>
          <cell r="D26">
            <v>990</v>
          </cell>
          <cell r="E26">
            <v>990</v>
          </cell>
          <cell r="F26">
            <v>990</v>
          </cell>
          <cell r="G26">
            <v>0</v>
          </cell>
          <cell r="H26">
            <v>0</v>
          </cell>
          <cell r="I26">
            <v>77356.806618056697</v>
          </cell>
          <cell r="J26">
            <v>60799.598216773302</v>
          </cell>
          <cell r="K26">
            <v>16557.208401283398</v>
          </cell>
          <cell r="L26">
            <v>78346.806618056697</v>
          </cell>
        </row>
        <row r="27">
          <cell r="B27" t="str">
            <v>Xã Phong Hải</v>
          </cell>
          <cell r="C27">
            <v>27040</v>
          </cell>
          <cell r="D27">
            <v>9377.65</v>
          </cell>
          <cell r="E27">
            <v>9377.65</v>
          </cell>
          <cell r="F27">
            <v>9230</v>
          </cell>
          <cell r="G27">
            <v>147.65</v>
          </cell>
          <cell r="H27">
            <v>0</v>
          </cell>
          <cell r="I27">
            <v>117197.64103476048</v>
          </cell>
          <cell r="J27">
            <v>89206.068430084881</v>
          </cell>
          <cell r="K27">
            <v>27991.572604675595</v>
          </cell>
          <cell r="L27">
            <v>126575.29103476046</v>
          </cell>
        </row>
        <row r="28">
          <cell r="B28" t="str">
            <v>Xã Xuân Quang</v>
          </cell>
          <cell r="C28">
            <v>19294</v>
          </cell>
          <cell r="D28">
            <v>11802.5</v>
          </cell>
          <cell r="E28">
            <v>11802.5</v>
          </cell>
          <cell r="F28">
            <v>11765</v>
          </cell>
          <cell r="G28">
            <v>37.5</v>
          </cell>
          <cell r="H28">
            <v>0</v>
          </cell>
          <cell r="I28">
            <v>156490.7665456509</v>
          </cell>
          <cell r="J28">
            <v>120536.82129023731</v>
          </cell>
          <cell r="K28">
            <v>35953.945255413593</v>
          </cell>
          <cell r="L28">
            <v>168293.2665456509</v>
          </cell>
        </row>
        <row r="29">
          <cell r="B29" t="str">
            <v xml:space="preserve">Xã Tằng Loỏng </v>
          </cell>
          <cell r="C29">
            <v>707564</v>
          </cell>
          <cell r="D29">
            <v>124128.5</v>
          </cell>
          <cell r="E29">
            <v>124128.5</v>
          </cell>
          <cell r="F29">
            <v>122728.5</v>
          </cell>
          <cell r="G29">
            <v>1400</v>
          </cell>
          <cell r="H29">
            <v>0</v>
          </cell>
          <cell r="I29">
            <v>36796.256288234988</v>
          </cell>
          <cell r="J29">
            <v>-4.3251483803032897E-2</v>
          </cell>
          <cell r="K29">
            <v>36796.299539718791</v>
          </cell>
          <cell r="L29">
            <v>160924.75628823499</v>
          </cell>
        </row>
        <row r="30">
          <cell r="B30" t="str">
            <v xml:space="preserve">Xã Gia Phú </v>
          </cell>
          <cell r="C30">
            <v>299356</v>
          </cell>
          <cell r="D30">
            <v>36667.5</v>
          </cell>
          <cell r="E30">
            <v>36667.5</v>
          </cell>
          <cell r="F30">
            <v>36665</v>
          </cell>
          <cell r="G30">
            <v>2.5</v>
          </cell>
          <cell r="H30">
            <v>0</v>
          </cell>
          <cell r="I30">
            <v>123607.71479488799</v>
          </cell>
          <cell r="J30">
            <v>89154.179765027991</v>
          </cell>
          <cell r="K30">
            <v>34453.535029859995</v>
          </cell>
          <cell r="L30">
            <v>160275.21479488799</v>
          </cell>
        </row>
        <row r="31">
          <cell r="B31" t="str">
            <v xml:space="preserve">Xã Bảo Thắng </v>
          </cell>
          <cell r="C31">
            <v>195810</v>
          </cell>
          <cell r="D31">
            <v>150676.5</v>
          </cell>
          <cell r="E31">
            <v>23176.5</v>
          </cell>
          <cell r="F31">
            <v>23116.5</v>
          </cell>
          <cell r="G31">
            <v>60</v>
          </cell>
          <cell r="H31">
            <v>127500</v>
          </cell>
          <cell r="I31">
            <v>223991.96528181402</v>
          </cell>
          <cell r="J31">
            <v>169941.88640002161</v>
          </cell>
          <cell r="K31">
            <v>54050.078881792397</v>
          </cell>
          <cell r="L31">
            <v>374668.46528181399</v>
          </cell>
        </row>
        <row r="32">
          <cell r="B32" t="str">
            <v xml:space="preserve">Xã Bảo Yên </v>
          </cell>
          <cell r="C32">
            <v>81045</v>
          </cell>
          <cell r="D32">
            <v>58287.5</v>
          </cell>
          <cell r="E32">
            <v>15787.5</v>
          </cell>
          <cell r="F32">
            <v>15740</v>
          </cell>
          <cell r="G32">
            <v>47.5</v>
          </cell>
          <cell r="H32">
            <v>42500</v>
          </cell>
          <cell r="I32">
            <v>164201.66907316275</v>
          </cell>
          <cell r="J32">
            <v>126001.03926493434</v>
          </cell>
          <cell r="K32">
            <v>38200.629808228397</v>
          </cell>
          <cell r="L32">
            <v>222489.16907316275</v>
          </cell>
        </row>
        <row r="33">
          <cell r="B33" t="str">
            <v>Xã Nghĩa Đô</v>
          </cell>
          <cell r="C33">
            <v>1799</v>
          </cell>
          <cell r="D33">
            <v>1489</v>
          </cell>
          <cell r="E33">
            <v>1489</v>
          </cell>
          <cell r="F33">
            <v>1489</v>
          </cell>
          <cell r="G33">
            <v>0</v>
          </cell>
          <cell r="H33">
            <v>0</v>
          </cell>
          <cell r="I33">
            <v>121749.61560753026</v>
          </cell>
          <cell r="J33">
            <v>98308.734430317461</v>
          </cell>
          <cell r="K33">
            <v>23440.881177212796</v>
          </cell>
          <cell r="L33">
            <v>123238.61560753026</v>
          </cell>
        </row>
        <row r="34">
          <cell r="B34" t="str">
            <v xml:space="preserve">Xã Thượng Hà </v>
          </cell>
          <cell r="C34">
            <v>4960</v>
          </cell>
          <cell r="D34">
            <v>3029</v>
          </cell>
          <cell r="E34">
            <v>3029</v>
          </cell>
          <cell r="F34">
            <v>3029</v>
          </cell>
          <cell r="G34">
            <v>0</v>
          </cell>
          <cell r="H34">
            <v>0</v>
          </cell>
          <cell r="I34">
            <v>135653.55676348775</v>
          </cell>
          <cell r="J34">
            <v>105268.51168161555</v>
          </cell>
          <cell r="K34">
            <v>30385.045081872195</v>
          </cell>
          <cell r="L34">
            <v>138682.55676348775</v>
          </cell>
        </row>
        <row r="35">
          <cell r="B35" t="str">
            <v>Xã Xuân Hoà</v>
          </cell>
          <cell r="C35">
            <v>30434</v>
          </cell>
          <cell r="D35">
            <v>11845</v>
          </cell>
          <cell r="E35">
            <v>11845</v>
          </cell>
          <cell r="F35">
            <v>11845</v>
          </cell>
          <cell r="G35">
            <v>0</v>
          </cell>
          <cell r="H35">
            <v>0</v>
          </cell>
          <cell r="I35">
            <v>105955.66693340288</v>
          </cell>
          <cell r="J35">
            <v>80327.114808049286</v>
          </cell>
          <cell r="K35">
            <v>25628.552125353595</v>
          </cell>
          <cell r="L35">
            <v>117800.66693340288</v>
          </cell>
        </row>
        <row r="36">
          <cell r="B36" t="str">
            <v xml:space="preserve">Xã Phúc Khánh </v>
          </cell>
          <cell r="C36">
            <v>16710</v>
          </cell>
          <cell r="D36">
            <v>6045</v>
          </cell>
          <cell r="E36">
            <v>6045</v>
          </cell>
          <cell r="F36">
            <v>6045</v>
          </cell>
          <cell r="G36">
            <v>0</v>
          </cell>
          <cell r="H36">
            <v>0</v>
          </cell>
          <cell r="I36">
            <v>86440.231646650558</v>
          </cell>
          <cell r="J36">
            <v>65011.204581387356</v>
          </cell>
          <cell r="K36">
            <v>21429.027065263203</v>
          </cell>
          <cell r="L36">
            <v>92485.231646650558</v>
          </cell>
        </row>
        <row r="37">
          <cell r="B37" t="str">
            <v xml:space="preserve">Xã Bảo Hà </v>
          </cell>
          <cell r="C37">
            <v>178555</v>
          </cell>
          <cell r="D37">
            <v>147476</v>
          </cell>
          <cell r="E37">
            <v>11476</v>
          </cell>
          <cell r="F37">
            <v>11476</v>
          </cell>
          <cell r="G37">
            <v>0</v>
          </cell>
          <cell r="H37">
            <v>136000</v>
          </cell>
          <cell r="I37">
            <v>256286.0562005199</v>
          </cell>
          <cell r="J37">
            <v>196885.55645278253</v>
          </cell>
          <cell r="K37">
            <v>59400.499747737384</v>
          </cell>
          <cell r="L37">
            <v>403762.0562005199</v>
          </cell>
        </row>
        <row r="38">
          <cell r="B38" t="str">
            <v xml:space="preserve">Xã Mường Hum </v>
          </cell>
          <cell r="C38">
            <v>37675</v>
          </cell>
          <cell r="D38">
            <v>2640</v>
          </cell>
          <cell r="E38">
            <v>2640</v>
          </cell>
          <cell r="F38">
            <v>2640</v>
          </cell>
          <cell r="G38">
            <v>0</v>
          </cell>
          <cell r="H38">
            <v>0</v>
          </cell>
          <cell r="I38">
            <v>81691.566179894391</v>
          </cell>
          <cell r="J38">
            <v>66096.399064526398</v>
          </cell>
          <cell r="K38">
            <v>15595.167115367998</v>
          </cell>
          <cell r="L38">
            <v>84331.566179894391</v>
          </cell>
        </row>
        <row r="39">
          <cell r="B39" t="str">
            <v>Xã Dền Sáng</v>
          </cell>
          <cell r="C39">
            <v>670</v>
          </cell>
          <cell r="D39">
            <v>628</v>
          </cell>
          <cell r="E39">
            <v>628</v>
          </cell>
          <cell r="F39">
            <v>628</v>
          </cell>
          <cell r="G39">
            <v>0</v>
          </cell>
          <cell r="H39">
            <v>0</v>
          </cell>
          <cell r="I39">
            <v>110441.94314538679</v>
          </cell>
          <cell r="J39">
            <v>88064.453111715789</v>
          </cell>
          <cell r="K39">
            <v>22377.490033670994</v>
          </cell>
          <cell r="L39">
            <v>111069.94314538679</v>
          </cell>
        </row>
        <row r="40">
          <cell r="B40" t="str">
            <v>Xã Y Tý</v>
          </cell>
          <cell r="C40">
            <v>1460</v>
          </cell>
          <cell r="D40">
            <v>1135</v>
          </cell>
          <cell r="E40">
            <v>1135</v>
          </cell>
          <cell r="F40">
            <v>1135</v>
          </cell>
          <cell r="G40">
            <v>0</v>
          </cell>
          <cell r="H40">
            <v>0</v>
          </cell>
          <cell r="I40">
            <v>119181.91243336946</v>
          </cell>
          <cell r="J40">
            <v>92117.307507982667</v>
          </cell>
          <cell r="K40">
            <v>27064.604925386797</v>
          </cell>
          <cell r="L40">
            <v>120316.91243336946</v>
          </cell>
        </row>
        <row r="41">
          <cell r="B41" t="str">
            <v xml:space="preserve">Xã A Mú Sung </v>
          </cell>
          <cell r="C41">
            <v>520</v>
          </cell>
          <cell r="D41">
            <v>513</v>
          </cell>
          <cell r="E41">
            <v>513</v>
          </cell>
          <cell r="F41">
            <v>513</v>
          </cell>
          <cell r="G41">
            <v>0</v>
          </cell>
          <cell r="H41">
            <v>0</v>
          </cell>
          <cell r="I41">
            <v>82912.783268382467</v>
          </cell>
          <cell r="J41">
            <v>64113.180091991868</v>
          </cell>
          <cell r="K41">
            <v>18799.603176390599</v>
          </cell>
          <cell r="L41">
            <v>83425.783268382467</v>
          </cell>
        </row>
        <row r="42">
          <cell r="B42" t="str">
            <v>Xã Trịnh Tường</v>
          </cell>
          <cell r="C42">
            <v>5500</v>
          </cell>
          <cell r="D42">
            <v>3591</v>
          </cell>
          <cell r="E42">
            <v>3591</v>
          </cell>
          <cell r="F42">
            <v>3591</v>
          </cell>
          <cell r="G42">
            <v>0</v>
          </cell>
          <cell r="H42">
            <v>0</v>
          </cell>
          <cell r="I42">
            <v>129015.3117722809</v>
          </cell>
          <cell r="J42">
            <v>97109.165112392293</v>
          </cell>
          <cell r="K42">
            <v>31906.146659888604</v>
          </cell>
          <cell r="L42">
            <v>132606.3117722809</v>
          </cell>
        </row>
        <row r="43">
          <cell r="B43" t="str">
            <v xml:space="preserve">Xã Bản Xèo </v>
          </cell>
          <cell r="C43">
            <v>44860</v>
          </cell>
          <cell r="D43">
            <v>13343</v>
          </cell>
          <cell r="E43">
            <v>13343</v>
          </cell>
          <cell r="F43">
            <v>13343</v>
          </cell>
          <cell r="G43">
            <v>0</v>
          </cell>
          <cell r="H43">
            <v>0</v>
          </cell>
          <cell r="I43">
            <v>79854.993397897051</v>
          </cell>
          <cell r="J43">
            <v>59066.511795163256</v>
          </cell>
          <cell r="K43">
            <v>20788.481602733798</v>
          </cell>
          <cell r="L43">
            <v>93197.993397897051</v>
          </cell>
        </row>
        <row r="44">
          <cell r="B44" t="str">
            <v>Xã Bát Xát</v>
          </cell>
          <cell r="C44">
            <v>1745110</v>
          </cell>
          <cell r="D44">
            <v>157285</v>
          </cell>
          <cell r="E44">
            <v>97785</v>
          </cell>
          <cell r="F44">
            <v>92185</v>
          </cell>
          <cell r="G44">
            <v>5600</v>
          </cell>
          <cell r="H44">
            <v>59500</v>
          </cell>
          <cell r="I44">
            <v>136452.69870893552</v>
          </cell>
          <cell r="J44">
            <v>84282.216486491146</v>
          </cell>
          <cell r="K44">
            <v>52170.482222444392</v>
          </cell>
          <cell r="L44">
            <v>293737.69870893552</v>
          </cell>
        </row>
        <row r="45">
          <cell r="B45" t="str">
            <v>Xã Cốc Lầu</v>
          </cell>
          <cell r="C45">
            <v>910</v>
          </cell>
          <cell r="D45">
            <v>840</v>
          </cell>
          <cell r="E45">
            <v>840</v>
          </cell>
          <cell r="F45">
            <v>840</v>
          </cell>
          <cell r="G45">
            <v>0</v>
          </cell>
          <cell r="H45">
            <v>0</v>
          </cell>
          <cell r="I45">
            <v>105340.25292284471</v>
          </cell>
          <cell r="J45">
            <v>82554.314509951306</v>
          </cell>
          <cell r="K45">
            <v>22785.9384128934</v>
          </cell>
          <cell r="L45">
            <v>106180.25292284471</v>
          </cell>
        </row>
        <row r="46">
          <cell r="B46" t="str">
            <v>Xã Bảo Nhai</v>
          </cell>
          <cell r="C46">
            <v>90475</v>
          </cell>
          <cell r="D46">
            <v>28840</v>
          </cell>
          <cell r="E46">
            <v>28840</v>
          </cell>
          <cell r="F46">
            <v>28840</v>
          </cell>
          <cell r="G46">
            <v>0</v>
          </cell>
          <cell r="H46">
            <v>0</v>
          </cell>
          <cell r="I46">
            <v>139185.92451377181</v>
          </cell>
          <cell r="J46">
            <v>100188.83508450702</v>
          </cell>
          <cell r="K46">
            <v>38997.089429264786</v>
          </cell>
          <cell r="L46">
            <v>168025.92451377181</v>
          </cell>
        </row>
        <row r="47">
          <cell r="B47" t="str">
            <v xml:space="preserve">Xả Tả Củ Tỷ </v>
          </cell>
          <cell r="C47">
            <v>285</v>
          </cell>
          <cell r="D47">
            <v>260.5</v>
          </cell>
          <cell r="E47">
            <v>260.5</v>
          </cell>
          <cell r="F47">
            <v>260.5</v>
          </cell>
          <cell r="G47">
            <v>0</v>
          </cell>
          <cell r="H47">
            <v>0</v>
          </cell>
          <cell r="I47">
            <v>90778.482229725778</v>
          </cell>
          <cell r="J47">
            <v>70180.99732411858</v>
          </cell>
          <cell r="K47">
            <v>20597.484905607198</v>
          </cell>
          <cell r="L47">
            <v>91038.982229725778</v>
          </cell>
        </row>
        <row r="48">
          <cell r="B48" t="str">
            <v>Xã Bản Liền</v>
          </cell>
          <cell r="C48">
            <v>48895</v>
          </cell>
          <cell r="D48">
            <v>14385</v>
          </cell>
          <cell r="E48">
            <v>14385</v>
          </cell>
          <cell r="F48">
            <v>14385</v>
          </cell>
          <cell r="G48">
            <v>0</v>
          </cell>
          <cell r="H48">
            <v>0</v>
          </cell>
          <cell r="I48">
            <v>51123.375669659683</v>
          </cell>
          <cell r="J48">
            <v>36866.530132360087</v>
          </cell>
          <cell r="K48">
            <v>14256.8455372996</v>
          </cell>
          <cell r="L48">
            <v>65508.375669659683</v>
          </cell>
        </row>
        <row r="49">
          <cell r="B49" t="str">
            <v xml:space="preserve">Xã Lùng Phình  </v>
          </cell>
          <cell r="C49">
            <v>1095</v>
          </cell>
          <cell r="D49">
            <v>762</v>
          </cell>
          <cell r="E49">
            <v>762</v>
          </cell>
          <cell r="F49">
            <v>762</v>
          </cell>
          <cell r="G49">
            <v>0</v>
          </cell>
          <cell r="H49">
            <v>0</v>
          </cell>
          <cell r="I49">
            <v>148495.61124284269</v>
          </cell>
          <cell r="J49">
            <v>113984.7721430143</v>
          </cell>
          <cell r="K49">
            <v>34510.839099828394</v>
          </cell>
          <cell r="L49">
            <v>149257.61124284269</v>
          </cell>
        </row>
        <row r="50">
          <cell r="B50" t="str">
            <v xml:space="preserve">Xã Bắc Hà </v>
          </cell>
          <cell r="C50">
            <v>185600</v>
          </cell>
          <cell r="D50">
            <v>145795</v>
          </cell>
          <cell r="E50">
            <v>18295</v>
          </cell>
          <cell r="F50">
            <v>18295</v>
          </cell>
          <cell r="G50">
            <v>0</v>
          </cell>
          <cell r="H50">
            <v>127500</v>
          </cell>
          <cell r="I50">
            <v>284201.58763172221</v>
          </cell>
          <cell r="J50">
            <v>214188.23420010682</v>
          </cell>
          <cell r="K50">
            <v>70013.353431615396</v>
          </cell>
          <cell r="L50">
            <v>429996.58763172221</v>
          </cell>
        </row>
        <row r="51">
          <cell r="B51" t="str">
            <v>Xã Si Ma Cai</v>
          </cell>
          <cell r="C51">
            <v>29915</v>
          </cell>
          <cell r="D51">
            <v>7415</v>
          </cell>
          <cell r="E51">
            <v>7415</v>
          </cell>
          <cell r="F51">
            <v>7415</v>
          </cell>
          <cell r="G51">
            <v>0</v>
          </cell>
          <cell r="H51">
            <v>0</v>
          </cell>
          <cell r="I51">
            <v>277157.47131265764</v>
          </cell>
          <cell r="J51">
            <v>209991.51231608563</v>
          </cell>
          <cell r="K51">
            <v>67165.958996571993</v>
          </cell>
          <cell r="L51">
            <v>284572.47131265764</v>
          </cell>
        </row>
        <row r="52">
          <cell r="B52" t="str">
            <v>Xã Sìn Chéng</v>
          </cell>
          <cell r="C52">
            <v>1145</v>
          </cell>
          <cell r="D52">
            <v>919.5</v>
          </cell>
          <cell r="E52">
            <v>919.5</v>
          </cell>
          <cell r="F52">
            <v>919.5</v>
          </cell>
          <cell r="G52">
            <v>0</v>
          </cell>
          <cell r="H52">
            <v>0</v>
          </cell>
          <cell r="I52">
            <v>137944.61635532448</v>
          </cell>
          <cell r="J52">
            <v>108486.78553431889</v>
          </cell>
          <cell r="K52">
            <v>29457.830821005598</v>
          </cell>
          <cell r="L52">
            <v>138864.11635532448</v>
          </cell>
        </row>
        <row r="53">
          <cell r="B53" t="str">
            <v xml:space="preserve">Xã Võ Lao </v>
          </cell>
          <cell r="C53">
            <v>69273</v>
          </cell>
          <cell r="D53">
            <v>45985.5</v>
          </cell>
          <cell r="E53">
            <v>11985.5</v>
          </cell>
          <cell r="F53">
            <v>11985.5</v>
          </cell>
          <cell r="G53">
            <v>0</v>
          </cell>
          <cell r="H53">
            <v>34000</v>
          </cell>
          <cell r="I53">
            <v>147031.94666581636</v>
          </cell>
          <cell r="J53">
            <v>107851.84879814595</v>
          </cell>
          <cell r="K53">
            <v>39180.097867670404</v>
          </cell>
          <cell r="L53">
            <v>193017.44666581636</v>
          </cell>
        </row>
        <row r="54">
          <cell r="B54" t="str">
            <v>Xã Khánh Yên</v>
          </cell>
          <cell r="C54">
            <v>10440</v>
          </cell>
          <cell r="D54">
            <v>4571</v>
          </cell>
          <cell r="E54">
            <v>4571</v>
          </cell>
          <cell r="F54">
            <v>4571</v>
          </cell>
          <cell r="G54">
            <v>0</v>
          </cell>
          <cell r="H54">
            <v>0</v>
          </cell>
          <cell r="I54">
            <v>100713.49710777521</v>
          </cell>
          <cell r="J54">
            <v>77728.574264681214</v>
          </cell>
          <cell r="K54">
            <v>22984.922843093995</v>
          </cell>
          <cell r="L54">
            <v>105284.49710777521</v>
          </cell>
        </row>
        <row r="55">
          <cell r="B55" t="str">
            <v>Xã Văn Bàn</v>
          </cell>
          <cell r="C55">
            <v>112020</v>
          </cell>
          <cell r="D55">
            <v>82135</v>
          </cell>
          <cell r="E55">
            <v>22635</v>
          </cell>
          <cell r="F55">
            <v>22635</v>
          </cell>
          <cell r="G55">
            <v>0</v>
          </cell>
          <cell r="H55">
            <v>59500</v>
          </cell>
          <cell r="I55">
            <v>175351.09337278595</v>
          </cell>
          <cell r="J55">
            <v>130818.73165940357</v>
          </cell>
          <cell r="K55">
            <v>44532.361713382386</v>
          </cell>
          <cell r="L55">
            <v>257486.09337278595</v>
          </cell>
        </row>
        <row r="56">
          <cell r="B56" t="str">
            <v xml:space="preserve">Xã Dương Quỳ </v>
          </cell>
          <cell r="C56">
            <v>17480</v>
          </cell>
          <cell r="D56">
            <v>6134</v>
          </cell>
          <cell r="E56">
            <v>6134</v>
          </cell>
          <cell r="F56">
            <v>6134</v>
          </cell>
          <cell r="G56">
            <v>0</v>
          </cell>
          <cell r="H56">
            <v>0</v>
          </cell>
          <cell r="I56">
            <v>74461.061596462489</v>
          </cell>
          <cell r="J56">
            <v>56473.164417471897</v>
          </cell>
          <cell r="K56">
            <v>17987.897178990592</v>
          </cell>
          <cell r="L56">
            <v>80595.061596462489</v>
          </cell>
        </row>
        <row r="57">
          <cell r="B57" t="str">
            <v xml:space="preserve">Xã Chiềng Ken </v>
          </cell>
          <cell r="C57">
            <v>6110</v>
          </cell>
          <cell r="D57">
            <v>2374</v>
          </cell>
          <cell r="E57">
            <v>2374</v>
          </cell>
          <cell r="F57">
            <v>2374</v>
          </cell>
          <cell r="G57">
            <v>0</v>
          </cell>
          <cell r="H57">
            <v>0</v>
          </cell>
          <cell r="I57">
            <v>83893.289880384778</v>
          </cell>
          <cell r="J57">
            <v>64543.679068278783</v>
          </cell>
          <cell r="K57">
            <v>19349.610812106002</v>
          </cell>
          <cell r="L57">
            <v>86267.289880384778</v>
          </cell>
        </row>
        <row r="58">
          <cell r="B58" t="str">
            <v xml:space="preserve">Xã Minh Lương </v>
          </cell>
          <cell r="C58">
            <v>1380</v>
          </cell>
          <cell r="D58">
            <v>1173</v>
          </cell>
          <cell r="E58">
            <v>1173</v>
          </cell>
          <cell r="F58">
            <v>1173</v>
          </cell>
          <cell r="G58">
            <v>0</v>
          </cell>
          <cell r="H58">
            <v>0</v>
          </cell>
          <cell r="I58">
            <v>82796.304784480119</v>
          </cell>
          <cell r="J58">
            <v>64202.085310554925</v>
          </cell>
          <cell r="K58">
            <v>18594.219473925194</v>
          </cell>
          <cell r="L58">
            <v>83969.304784480119</v>
          </cell>
        </row>
        <row r="59">
          <cell r="B59" t="str">
            <v xml:space="preserve">Xã Nậm Chày  </v>
          </cell>
          <cell r="C59">
            <v>700</v>
          </cell>
          <cell r="D59">
            <v>345</v>
          </cell>
          <cell r="E59">
            <v>345</v>
          </cell>
          <cell r="F59">
            <v>345</v>
          </cell>
          <cell r="G59">
            <v>0</v>
          </cell>
          <cell r="H59">
            <v>0</v>
          </cell>
          <cell r="I59">
            <v>73247.858007162955</v>
          </cell>
          <cell r="J59">
            <v>56629.168695446759</v>
          </cell>
          <cell r="K59">
            <v>16618.689311716196</v>
          </cell>
          <cell r="L59">
            <v>73592.858007162955</v>
          </cell>
        </row>
        <row r="60">
          <cell r="B60" t="str">
            <v>Xã Nậm Xé</v>
          </cell>
          <cell r="C60">
            <v>45990</v>
          </cell>
          <cell r="D60">
            <v>13525</v>
          </cell>
          <cell r="E60">
            <v>13525</v>
          </cell>
          <cell r="F60">
            <v>13525</v>
          </cell>
          <cell r="G60">
            <v>0</v>
          </cell>
          <cell r="H60">
            <v>0</v>
          </cell>
          <cell r="I60">
            <v>19705.737762789759</v>
          </cell>
          <cell r="J60">
            <v>13298.949424602561</v>
          </cell>
          <cell r="K60">
            <v>6406.788338187198</v>
          </cell>
          <cell r="L60">
            <v>33230.737762789759</v>
          </cell>
        </row>
        <row r="61">
          <cell r="B61" t="str">
            <v>Xã Pha Long</v>
          </cell>
          <cell r="C61">
            <v>6500</v>
          </cell>
          <cell r="D61">
            <v>2890</v>
          </cell>
          <cell r="E61">
            <v>2890</v>
          </cell>
          <cell r="F61">
            <v>2890</v>
          </cell>
          <cell r="G61">
            <v>0</v>
          </cell>
          <cell r="H61">
            <v>0</v>
          </cell>
          <cell r="I61">
            <v>201333.95367428332</v>
          </cell>
          <cell r="J61">
            <v>151050.66296451673</v>
          </cell>
          <cell r="K61">
            <v>50283.290709766588</v>
          </cell>
          <cell r="L61">
            <v>204223.95367428332</v>
          </cell>
        </row>
        <row r="62">
          <cell r="B62" t="str">
            <v xml:space="preserve">Xã Mường Khương </v>
          </cell>
          <cell r="C62">
            <v>66385</v>
          </cell>
          <cell r="D62">
            <v>48447.5</v>
          </cell>
          <cell r="E62">
            <v>14447.5</v>
          </cell>
          <cell r="F62">
            <v>14415</v>
          </cell>
          <cell r="G62">
            <v>32.5</v>
          </cell>
          <cell r="H62">
            <v>34000</v>
          </cell>
          <cell r="I62">
            <v>285876.49655316875</v>
          </cell>
          <cell r="J62">
            <v>213837.49010658276</v>
          </cell>
          <cell r="K62">
            <v>72039.00644658599</v>
          </cell>
          <cell r="L62">
            <v>334323.99655316875</v>
          </cell>
        </row>
        <row r="63">
          <cell r="B63" t="str">
            <v>Xã Bản Lầu</v>
          </cell>
          <cell r="C63">
            <v>2400</v>
          </cell>
          <cell r="D63">
            <v>1610</v>
          </cell>
          <cell r="E63">
            <v>1610</v>
          </cell>
          <cell r="F63">
            <v>1610</v>
          </cell>
          <cell r="G63">
            <v>0</v>
          </cell>
          <cell r="H63">
            <v>0</v>
          </cell>
          <cell r="I63">
            <v>154585.41812925035</v>
          </cell>
          <cell r="J63">
            <v>120395.05299781237</v>
          </cell>
          <cell r="K63">
            <v>34190.365131437989</v>
          </cell>
          <cell r="L63">
            <v>156195.41812925035</v>
          </cell>
        </row>
        <row r="64">
          <cell r="B64" t="str">
            <v>Xã Cao Sơn</v>
          </cell>
          <cell r="C64">
            <v>550</v>
          </cell>
          <cell r="D64">
            <v>511</v>
          </cell>
          <cell r="E64">
            <v>511</v>
          </cell>
          <cell r="F64">
            <v>511</v>
          </cell>
          <cell r="G64">
            <v>0</v>
          </cell>
          <cell r="H64">
            <v>0</v>
          </cell>
          <cell r="I64">
            <v>152530.13095898641</v>
          </cell>
          <cell r="J64">
            <v>118272.40538912843</v>
          </cell>
          <cell r="K64">
            <v>34257.72556985799</v>
          </cell>
          <cell r="L64">
            <v>153041.13095898641</v>
          </cell>
        </row>
        <row r="65">
          <cell r="B65" t="str">
            <v>Xã Khao Mang</v>
          </cell>
          <cell r="C65">
            <v>133630</v>
          </cell>
          <cell r="D65">
            <v>33725</v>
          </cell>
          <cell r="E65">
            <v>33725</v>
          </cell>
          <cell r="F65">
            <v>33725</v>
          </cell>
          <cell r="G65">
            <v>0</v>
          </cell>
          <cell r="H65">
            <v>0</v>
          </cell>
          <cell r="I65">
            <v>58644.882318847915</v>
          </cell>
          <cell r="J65">
            <v>40477.016829450513</v>
          </cell>
          <cell r="K65">
            <v>18167.865489397398</v>
          </cell>
          <cell r="L65">
            <v>92369.882318847915</v>
          </cell>
        </row>
        <row r="66">
          <cell r="B66" t="str">
            <v>Xã Mù Cang Chải</v>
          </cell>
          <cell r="C66">
            <v>211800</v>
          </cell>
          <cell r="D66">
            <v>22750</v>
          </cell>
          <cell r="E66">
            <v>10000</v>
          </cell>
          <cell r="F66">
            <v>10000</v>
          </cell>
          <cell r="G66">
            <v>0</v>
          </cell>
          <cell r="H66">
            <v>12750</v>
          </cell>
          <cell r="I66">
            <v>151035.51972008351</v>
          </cell>
          <cell r="J66">
            <v>119943.1201143291</v>
          </cell>
          <cell r="K66">
            <v>31092.399605754399</v>
          </cell>
          <cell r="L66">
            <v>173785.51972008351</v>
          </cell>
        </row>
        <row r="67">
          <cell r="B67" t="str">
            <v>Xã Púng Luông</v>
          </cell>
          <cell r="C67">
            <v>22000</v>
          </cell>
          <cell r="D67">
            <v>9110</v>
          </cell>
          <cell r="E67">
            <v>9110</v>
          </cell>
          <cell r="F67">
            <v>9110</v>
          </cell>
          <cell r="G67">
            <v>0</v>
          </cell>
          <cell r="H67">
            <v>0</v>
          </cell>
          <cell r="I67">
            <v>136307.68794665983</v>
          </cell>
          <cell r="J67">
            <v>107903.22270853503</v>
          </cell>
          <cell r="K67">
            <v>28404.465238124794</v>
          </cell>
          <cell r="L67">
            <v>145417.68794665983</v>
          </cell>
        </row>
        <row r="68">
          <cell r="B68" t="str">
            <v>Xã Chế Tạo</v>
          </cell>
          <cell r="C68">
            <v>7550</v>
          </cell>
          <cell r="D68">
            <v>2325</v>
          </cell>
          <cell r="E68">
            <v>2325</v>
          </cell>
          <cell r="F68">
            <v>2325</v>
          </cell>
          <cell r="G68">
            <v>0</v>
          </cell>
          <cell r="H68">
            <v>0</v>
          </cell>
          <cell r="I68">
            <v>34396.094762959285</v>
          </cell>
          <cell r="J68">
            <v>28363.424539222684</v>
          </cell>
          <cell r="K68">
            <v>6032.6702237365998</v>
          </cell>
          <cell r="L68">
            <v>36721.094762959285</v>
          </cell>
        </row>
        <row r="69">
          <cell r="B69" t="str">
            <v>Xã Nậm Có</v>
          </cell>
          <cell r="C69">
            <v>3100</v>
          </cell>
          <cell r="D69">
            <v>1485</v>
          </cell>
          <cell r="E69">
            <v>1485</v>
          </cell>
          <cell r="F69">
            <v>1485</v>
          </cell>
          <cell r="G69">
            <v>0</v>
          </cell>
          <cell r="H69">
            <v>0</v>
          </cell>
          <cell r="I69">
            <v>83488.90601867481</v>
          </cell>
          <cell r="J69">
            <v>68417.828627143812</v>
          </cell>
          <cell r="K69">
            <v>15071.077391530995</v>
          </cell>
          <cell r="L69">
            <v>84973.90601867481</v>
          </cell>
        </row>
        <row r="70">
          <cell r="B70" t="str">
            <v>Xã Lao Chải</v>
          </cell>
          <cell r="C70">
            <v>400</v>
          </cell>
          <cell r="D70">
            <v>386</v>
          </cell>
          <cell r="E70">
            <v>386</v>
          </cell>
          <cell r="F70">
            <v>386</v>
          </cell>
          <cell r="G70">
            <v>0</v>
          </cell>
          <cell r="H70">
            <v>0</v>
          </cell>
          <cell r="I70">
            <v>84817.02449918889</v>
          </cell>
          <cell r="J70">
            <v>67898.241758790289</v>
          </cell>
          <cell r="K70">
            <v>16918.782740398598</v>
          </cell>
          <cell r="L70">
            <v>85203.02449918889</v>
          </cell>
        </row>
        <row r="71">
          <cell r="B71" t="str">
            <v>Xã Tú Lệ</v>
          </cell>
          <cell r="C71">
            <v>2000</v>
          </cell>
          <cell r="D71">
            <v>1520</v>
          </cell>
          <cell r="E71">
            <v>1520</v>
          </cell>
          <cell r="F71">
            <v>1520</v>
          </cell>
          <cell r="G71">
            <v>0</v>
          </cell>
          <cell r="H71">
            <v>0</v>
          </cell>
          <cell r="I71">
            <v>96854.94109670489</v>
          </cell>
          <cell r="J71">
            <v>79564.250985036284</v>
          </cell>
          <cell r="K71">
            <v>17290.690111668599</v>
          </cell>
          <cell r="L71">
            <v>98374.941096704875</v>
          </cell>
        </row>
        <row r="72">
          <cell r="B72" t="str">
            <v>Xã Cát Thịnh</v>
          </cell>
          <cell r="C72">
            <v>4070</v>
          </cell>
          <cell r="D72">
            <v>1992.5</v>
          </cell>
          <cell r="E72">
            <v>1992.5</v>
          </cell>
          <cell r="F72">
            <v>1980</v>
          </cell>
          <cell r="G72">
            <v>12.5</v>
          </cell>
          <cell r="H72">
            <v>0</v>
          </cell>
          <cell r="I72">
            <v>81644.368483147438</v>
          </cell>
          <cell r="J72">
            <v>64950.060738975648</v>
          </cell>
          <cell r="K72">
            <v>16694.307744171798</v>
          </cell>
          <cell r="L72">
            <v>83636.868483147438</v>
          </cell>
        </row>
        <row r="73">
          <cell r="B73" t="str">
            <v>Xã Trạm Tấu</v>
          </cell>
          <cell r="C73">
            <v>48100</v>
          </cell>
          <cell r="D73">
            <v>10430</v>
          </cell>
          <cell r="E73">
            <v>10430</v>
          </cell>
          <cell r="F73">
            <v>10430</v>
          </cell>
          <cell r="G73">
            <v>0</v>
          </cell>
          <cell r="H73">
            <v>0</v>
          </cell>
          <cell r="I73">
            <v>116680.54105545142</v>
          </cell>
          <cell r="J73">
            <v>89241.490383399621</v>
          </cell>
          <cell r="K73">
            <v>27439.050672051799</v>
          </cell>
          <cell r="L73">
            <v>127110.54105545142</v>
          </cell>
        </row>
        <row r="74">
          <cell r="B74" t="str">
            <v>Xã Hạnh Phúc</v>
          </cell>
          <cell r="C74">
            <v>25200</v>
          </cell>
          <cell r="D74">
            <v>11770</v>
          </cell>
          <cell r="E74">
            <v>11770</v>
          </cell>
          <cell r="F74">
            <v>11700</v>
          </cell>
          <cell r="G74">
            <v>70</v>
          </cell>
          <cell r="H74">
            <v>0</v>
          </cell>
          <cell r="I74">
            <v>124065.25550781132</v>
          </cell>
          <cell r="J74">
            <v>95073.321312384724</v>
          </cell>
          <cell r="K74">
            <v>28991.934195426595</v>
          </cell>
          <cell r="L74">
            <v>135835.25550781132</v>
          </cell>
        </row>
        <row r="75">
          <cell r="B75" t="str">
            <v>Xã Phình Hồ</v>
          </cell>
          <cell r="C75">
            <v>700</v>
          </cell>
          <cell r="D75">
            <v>636</v>
          </cell>
          <cell r="E75">
            <v>636</v>
          </cell>
          <cell r="F75">
            <v>636</v>
          </cell>
          <cell r="G75">
            <v>0</v>
          </cell>
          <cell r="H75">
            <v>0</v>
          </cell>
          <cell r="I75">
            <v>109860.55206930649</v>
          </cell>
          <cell r="J75">
            <v>86507.736344885896</v>
          </cell>
          <cell r="K75">
            <v>23352.815724420598</v>
          </cell>
          <cell r="L75">
            <v>110496.55206930649</v>
          </cell>
        </row>
        <row r="76">
          <cell r="B76" t="str">
            <v>Xã Tà Xi Láng</v>
          </cell>
          <cell r="C76">
            <v>100</v>
          </cell>
          <cell r="D76">
            <v>100</v>
          </cell>
          <cell r="E76">
            <v>100</v>
          </cell>
          <cell r="F76">
            <v>100</v>
          </cell>
          <cell r="G76">
            <v>0</v>
          </cell>
          <cell r="H76">
            <v>0</v>
          </cell>
          <cell r="I76">
            <v>36104.983375994721</v>
          </cell>
          <cell r="J76">
            <v>29871.147540726321</v>
          </cell>
          <cell r="K76">
            <v>6233.835835268399</v>
          </cell>
          <cell r="L76">
            <v>36204.983375994721</v>
          </cell>
        </row>
        <row r="77">
          <cell r="B77" t="str">
            <v>Xã Liên Sơn</v>
          </cell>
          <cell r="C77">
            <v>5900</v>
          </cell>
          <cell r="D77">
            <v>4085</v>
          </cell>
          <cell r="E77">
            <v>4085</v>
          </cell>
          <cell r="F77">
            <v>4085</v>
          </cell>
          <cell r="G77">
            <v>0</v>
          </cell>
          <cell r="H77">
            <v>0</v>
          </cell>
          <cell r="I77">
            <v>80947.099432276402</v>
          </cell>
          <cell r="J77">
            <v>64374.070235493404</v>
          </cell>
          <cell r="K77">
            <v>16573.029196782998</v>
          </cell>
          <cell r="L77">
            <v>85032.099432276402</v>
          </cell>
        </row>
        <row r="78">
          <cell r="B78" t="str">
            <v>Phường Nghĩa Lộ</v>
          </cell>
          <cell r="C78">
            <v>164800</v>
          </cell>
          <cell r="D78">
            <v>55980</v>
          </cell>
          <cell r="E78">
            <v>21980</v>
          </cell>
          <cell r="F78">
            <v>21855</v>
          </cell>
          <cell r="G78">
            <v>125</v>
          </cell>
          <cell r="H78">
            <v>34000</v>
          </cell>
          <cell r="I78">
            <v>102895.06261239297</v>
          </cell>
          <cell r="J78">
            <v>78719.634069701773</v>
          </cell>
          <cell r="K78">
            <v>24175.428542691192</v>
          </cell>
          <cell r="L78">
            <v>158875.06261239297</v>
          </cell>
        </row>
        <row r="79">
          <cell r="B79" t="str">
            <v>Phường Trung Tâm</v>
          </cell>
          <cell r="C79">
            <v>170500</v>
          </cell>
          <cell r="D79">
            <v>79125</v>
          </cell>
          <cell r="E79">
            <v>19625</v>
          </cell>
          <cell r="F79">
            <v>19495</v>
          </cell>
          <cell r="G79">
            <v>130</v>
          </cell>
          <cell r="H79">
            <v>59500</v>
          </cell>
          <cell r="I79">
            <v>122314.60999598374</v>
          </cell>
          <cell r="J79">
            <v>96291.452805991546</v>
          </cell>
          <cell r="K79">
            <v>26023.157189992195</v>
          </cell>
          <cell r="L79">
            <v>201439.60999598374</v>
          </cell>
        </row>
        <row r="80">
          <cell r="B80" t="str">
            <v>Phường Cầu Thia</v>
          </cell>
          <cell r="C80">
            <v>21200</v>
          </cell>
          <cell r="D80">
            <v>10685</v>
          </cell>
          <cell r="E80">
            <v>10685</v>
          </cell>
          <cell r="F80">
            <v>10685</v>
          </cell>
          <cell r="G80">
            <v>0</v>
          </cell>
          <cell r="H80">
            <v>0</v>
          </cell>
          <cell r="I80">
            <v>134955.20626193142</v>
          </cell>
          <cell r="J80">
            <v>106198.96329927963</v>
          </cell>
          <cell r="K80">
            <v>28756.242962651795</v>
          </cell>
          <cell r="L80">
            <v>145640.20626193142</v>
          </cell>
        </row>
        <row r="81">
          <cell r="B81" t="str">
            <v>Xã Gia Hội</v>
          </cell>
          <cell r="C81">
            <v>87500</v>
          </cell>
          <cell r="D81">
            <v>25920</v>
          </cell>
          <cell r="E81">
            <v>25920</v>
          </cell>
          <cell r="F81">
            <v>25900</v>
          </cell>
          <cell r="G81">
            <v>20</v>
          </cell>
          <cell r="H81">
            <v>0</v>
          </cell>
          <cell r="I81">
            <v>68253.211212654714</v>
          </cell>
          <cell r="J81">
            <v>49168.625515936321</v>
          </cell>
          <cell r="K81">
            <v>19084.585696718401</v>
          </cell>
          <cell r="L81">
            <v>94173.211212654714</v>
          </cell>
        </row>
        <row r="82">
          <cell r="B82" t="str">
            <v>Xã Sơn Lương</v>
          </cell>
          <cell r="C82">
            <v>6500</v>
          </cell>
          <cell r="D82">
            <v>2415</v>
          </cell>
          <cell r="E82">
            <v>2415</v>
          </cell>
          <cell r="F82">
            <v>2415</v>
          </cell>
          <cell r="G82">
            <v>0</v>
          </cell>
          <cell r="H82">
            <v>0</v>
          </cell>
          <cell r="I82">
            <v>116995.99015786647</v>
          </cell>
          <cell r="J82">
            <v>92375.870415245881</v>
          </cell>
          <cell r="K82">
            <v>24620.119742620598</v>
          </cell>
          <cell r="L82">
            <v>119410.99015786649</v>
          </cell>
        </row>
        <row r="83">
          <cell r="B83" t="str">
            <v>Xã Văn Chấn</v>
          </cell>
          <cell r="C83">
            <v>123050</v>
          </cell>
          <cell r="D83">
            <v>41842.5</v>
          </cell>
          <cell r="E83">
            <v>12092.5</v>
          </cell>
          <cell r="F83">
            <v>11985</v>
          </cell>
          <cell r="G83">
            <v>107.5</v>
          </cell>
          <cell r="H83">
            <v>29750</v>
          </cell>
          <cell r="I83">
            <v>152962.03246296637</v>
          </cell>
          <cell r="J83">
            <v>121995.03916875838</v>
          </cell>
          <cell r="K83">
            <v>30966.993294207994</v>
          </cell>
          <cell r="L83">
            <v>194804.53246296637</v>
          </cell>
        </row>
        <row r="84">
          <cell r="B84" t="str">
            <v>Xã Thượng Bằng La</v>
          </cell>
          <cell r="C84">
            <v>8180</v>
          </cell>
          <cell r="D84">
            <v>4345</v>
          </cell>
          <cell r="E84">
            <v>4345</v>
          </cell>
          <cell r="F84">
            <v>4315</v>
          </cell>
          <cell r="G84">
            <v>30</v>
          </cell>
          <cell r="H84">
            <v>0</v>
          </cell>
          <cell r="I84">
            <v>77989.767447188875</v>
          </cell>
          <cell r="J84">
            <v>61283.569206790271</v>
          </cell>
          <cell r="K84">
            <v>16706.198240398597</v>
          </cell>
          <cell r="L84">
            <v>82334.767447188875</v>
          </cell>
        </row>
        <row r="85">
          <cell r="B85" t="str">
            <v>Xã Chấn Thịnh</v>
          </cell>
          <cell r="C85">
            <v>22230</v>
          </cell>
          <cell r="D85">
            <v>7260</v>
          </cell>
          <cell r="E85">
            <v>7260</v>
          </cell>
          <cell r="F85">
            <v>7115</v>
          </cell>
          <cell r="G85">
            <v>145</v>
          </cell>
          <cell r="H85">
            <v>0</v>
          </cell>
          <cell r="I85">
            <v>91192.598241919113</v>
          </cell>
          <cell r="J85">
            <v>73378.418240307714</v>
          </cell>
          <cell r="K85">
            <v>17814.180001611396</v>
          </cell>
          <cell r="L85">
            <v>98452.598241919113</v>
          </cell>
        </row>
        <row r="86">
          <cell r="B86" t="str">
            <v>Xã Nghĩa Tâm</v>
          </cell>
          <cell r="C86">
            <v>8100</v>
          </cell>
          <cell r="D86">
            <v>4075</v>
          </cell>
          <cell r="E86">
            <v>4075</v>
          </cell>
          <cell r="F86">
            <v>4075</v>
          </cell>
          <cell r="G86">
            <v>0</v>
          </cell>
          <cell r="H86">
            <v>0</v>
          </cell>
          <cell r="I86">
            <v>96070.539918683382</v>
          </cell>
          <cell r="J86">
            <v>77746.579716754175</v>
          </cell>
          <cell r="K86">
            <v>18323.9602019292</v>
          </cell>
          <cell r="L86">
            <v>100145.53991868337</v>
          </cell>
        </row>
        <row r="87">
          <cell r="B87" t="str">
            <v>Xã Phong Dụ Hạ</v>
          </cell>
          <cell r="C87">
            <v>7670</v>
          </cell>
          <cell r="D87">
            <v>2610</v>
          </cell>
          <cell r="E87">
            <v>2610</v>
          </cell>
          <cell r="F87">
            <v>2580</v>
          </cell>
          <cell r="G87">
            <v>30</v>
          </cell>
          <cell r="H87">
            <v>0</v>
          </cell>
          <cell r="I87">
            <v>56899.564593188872</v>
          </cell>
          <cell r="J87">
            <v>47736.372847790277</v>
          </cell>
          <cell r="K87">
            <v>9163.1917453985989</v>
          </cell>
          <cell r="L87">
            <v>59509.564593188872</v>
          </cell>
        </row>
        <row r="88">
          <cell r="B88" t="str">
            <v>Xã Châu Quế</v>
          </cell>
          <cell r="C88">
            <v>5340</v>
          </cell>
          <cell r="D88">
            <v>2635</v>
          </cell>
          <cell r="E88">
            <v>2635</v>
          </cell>
          <cell r="F88">
            <v>2635</v>
          </cell>
          <cell r="G88">
            <v>0</v>
          </cell>
          <cell r="H88">
            <v>0</v>
          </cell>
          <cell r="I88">
            <v>79025.311401767525</v>
          </cell>
          <cell r="J88">
            <v>64429.41910328313</v>
          </cell>
          <cell r="K88">
            <v>14595.892298484398</v>
          </cell>
          <cell r="L88">
            <v>81660.311401767525</v>
          </cell>
        </row>
        <row r="89">
          <cell r="B89" t="str">
            <v>Xã Lâm Giang</v>
          </cell>
          <cell r="C89">
            <v>8270</v>
          </cell>
          <cell r="D89">
            <v>3500</v>
          </cell>
          <cell r="E89">
            <v>3500</v>
          </cell>
          <cell r="F89">
            <v>3485</v>
          </cell>
          <cell r="G89">
            <v>15</v>
          </cell>
          <cell r="H89">
            <v>0</v>
          </cell>
          <cell r="I89">
            <v>83701.06630392911</v>
          </cell>
          <cell r="J89">
            <v>68098.465781992709</v>
          </cell>
          <cell r="K89">
            <v>15602.600521936396</v>
          </cell>
          <cell r="L89">
            <v>87201.06630392911</v>
          </cell>
        </row>
        <row r="90">
          <cell r="B90" t="str">
            <v>Xã Đông Cuông</v>
          </cell>
          <cell r="C90">
            <v>136500</v>
          </cell>
          <cell r="D90">
            <v>8560</v>
          </cell>
          <cell r="E90">
            <v>8560</v>
          </cell>
          <cell r="F90">
            <v>8560</v>
          </cell>
          <cell r="G90">
            <v>0</v>
          </cell>
          <cell r="H90">
            <v>0</v>
          </cell>
          <cell r="I90">
            <v>115163.54191451943</v>
          </cell>
          <cell r="J90">
            <v>89513.806056757632</v>
          </cell>
          <cell r="K90">
            <v>25649.7358577618</v>
          </cell>
          <cell r="L90">
            <v>123723.54191451943</v>
          </cell>
        </row>
        <row r="91">
          <cell r="B91" t="str">
            <v>Xã Tân Hợp</v>
          </cell>
          <cell r="C91">
            <v>6030</v>
          </cell>
          <cell r="D91">
            <v>2565</v>
          </cell>
          <cell r="E91">
            <v>2565</v>
          </cell>
          <cell r="F91">
            <v>2565</v>
          </cell>
          <cell r="G91">
            <v>0</v>
          </cell>
          <cell r="H91">
            <v>0</v>
          </cell>
          <cell r="I91">
            <v>85199.061635956154</v>
          </cell>
          <cell r="J91">
            <v>66867.805827060962</v>
          </cell>
          <cell r="K91">
            <v>18331.255808895196</v>
          </cell>
          <cell r="L91">
            <v>87764.061635956154</v>
          </cell>
        </row>
        <row r="92">
          <cell r="B92" t="str">
            <v>Xã Mậu A</v>
          </cell>
          <cell r="C92">
            <v>699800</v>
          </cell>
          <cell r="D92">
            <v>104860</v>
          </cell>
          <cell r="E92">
            <v>36860</v>
          </cell>
          <cell r="F92">
            <v>36850</v>
          </cell>
          <cell r="G92">
            <v>10</v>
          </cell>
          <cell r="H92">
            <v>68000</v>
          </cell>
          <cell r="I92">
            <v>181243.11948029418</v>
          </cell>
          <cell r="J92">
            <v>133791.86343941398</v>
          </cell>
          <cell r="K92">
            <v>47451.256040880202</v>
          </cell>
          <cell r="L92">
            <v>286103.11948029418</v>
          </cell>
        </row>
        <row r="93">
          <cell r="B93" t="str">
            <v>Xã Xuân Ái</v>
          </cell>
          <cell r="C93">
            <v>45080</v>
          </cell>
          <cell r="D93">
            <v>6260</v>
          </cell>
          <cell r="E93">
            <v>6260</v>
          </cell>
          <cell r="F93">
            <v>6260</v>
          </cell>
          <cell r="G93">
            <v>0</v>
          </cell>
          <cell r="H93">
            <v>0</v>
          </cell>
          <cell r="I93">
            <v>147278.67341504421</v>
          </cell>
          <cell r="J93">
            <v>114750.01919978902</v>
          </cell>
          <cell r="K93">
            <v>32528.654215255188</v>
          </cell>
          <cell r="L93">
            <v>153538.67341504421</v>
          </cell>
        </row>
        <row r="94">
          <cell r="B94" t="str">
            <v>Xã Mỏ Vàng</v>
          </cell>
          <cell r="C94">
            <v>120</v>
          </cell>
          <cell r="D94">
            <v>110</v>
          </cell>
          <cell r="E94">
            <v>110</v>
          </cell>
          <cell r="F94">
            <v>110</v>
          </cell>
          <cell r="G94">
            <v>0</v>
          </cell>
          <cell r="H94">
            <v>0</v>
          </cell>
          <cell r="I94">
            <v>78521.719892607973</v>
          </cell>
          <cell r="J94">
            <v>64962.813626847972</v>
          </cell>
          <cell r="K94">
            <v>13558.906265759997</v>
          </cell>
          <cell r="L94">
            <v>78631.719892607973</v>
          </cell>
        </row>
        <row r="95">
          <cell r="B95" t="str">
            <v>Xã Phong Dụ Thượng</v>
          </cell>
          <cell r="C95">
            <v>9170</v>
          </cell>
          <cell r="D95">
            <v>530</v>
          </cell>
          <cell r="E95">
            <v>530</v>
          </cell>
          <cell r="F95">
            <v>530</v>
          </cell>
          <cell r="G95">
            <v>0</v>
          </cell>
          <cell r="H95">
            <v>0</v>
          </cell>
          <cell r="I95">
            <v>44788.348934305599</v>
          </cell>
          <cell r="J95">
            <v>37697.729738173599</v>
          </cell>
          <cell r="K95">
            <v>7090.6191961319973</v>
          </cell>
          <cell r="L95">
            <v>45318.348934305599</v>
          </cell>
        </row>
        <row r="96">
          <cell r="B96" t="str">
            <v>Xã Lâm Thượng</v>
          </cell>
          <cell r="C96">
            <v>3500</v>
          </cell>
          <cell r="D96">
            <v>2820</v>
          </cell>
          <cell r="E96">
            <v>2820</v>
          </cell>
          <cell r="F96">
            <v>2820</v>
          </cell>
          <cell r="G96">
            <v>0</v>
          </cell>
          <cell r="H96">
            <v>0</v>
          </cell>
          <cell r="I96">
            <v>123581.43149891001</v>
          </cell>
          <cell r="J96">
            <v>99001.667449335015</v>
          </cell>
          <cell r="K96">
            <v>24579.764049574991</v>
          </cell>
          <cell r="L96">
            <v>126401.43149891001</v>
          </cell>
        </row>
        <row r="97">
          <cell r="B97" t="str">
            <v>Xã Lục Yên</v>
          </cell>
          <cell r="C97">
            <v>470800</v>
          </cell>
          <cell r="D97">
            <v>124447.5</v>
          </cell>
          <cell r="E97">
            <v>98947.5</v>
          </cell>
          <cell r="F97">
            <v>98195</v>
          </cell>
          <cell r="G97">
            <v>752.5</v>
          </cell>
          <cell r="H97">
            <v>25500</v>
          </cell>
          <cell r="I97">
            <v>76495.573847806751</v>
          </cell>
          <cell r="J97">
            <v>42152.167774648347</v>
          </cell>
          <cell r="K97">
            <v>34343.406073158396</v>
          </cell>
          <cell r="L97">
            <v>200943.07384780675</v>
          </cell>
        </row>
        <row r="98">
          <cell r="B98" t="str">
            <v>Xã Tân Lĩnh</v>
          </cell>
          <cell r="C98">
            <v>22900</v>
          </cell>
          <cell r="D98">
            <v>8640</v>
          </cell>
          <cell r="E98">
            <v>8640</v>
          </cell>
          <cell r="F98">
            <v>8605</v>
          </cell>
          <cell r="G98">
            <v>35</v>
          </cell>
          <cell r="H98">
            <v>0</v>
          </cell>
          <cell r="I98">
            <v>113825.92725006919</v>
          </cell>
          <cell r="J98">
            <v>89153.183059420204</v>
          </cell>
          <cell r="K98">
            <v>24672.744190648991</v>
          </cell>
          <cell r="L98">
            <v>122465.9272500692</v>
          </cell>
        </row>
        <row r="99">
          <cell r="B99" t="str">
            <v>Xã Khánh Hoà</v>
          </cell>
          <cell r="C99">
            <v>11570</v>
          </cell>
          <cell r="D99">
            <v>5427.5</v>
          </cell>
          <cell r="E99">
            <v>5427.5</v>
          </cell>
          <cell r="F99">
            <v>5420</v>
          </cell>
          <cell r="G99">
            <v>7.5</v>
          </cell>
          <cell r="H99">
            <v>0</v>
          </cell>
          <cell r="I99">
            <v>107853.42275411126</v>
          </cell>
          <cell r="J99">
            <v>85846.035463934677</v>
          </cell>
          <cell r="K99">
            <v>22007.387290176594</v>
          </cell>
          <cell r="L99">
            <v>113280.92275411126</v>
          </cell>
        </row>
        <row r="100">
          <cell r="B100" t="str">
            <v>Xã Phúc Lợi</v>
          </cell>
          <cell r="C100">
            <v>4500</v>
          </cell>
          <cell r="D100">
            <v>3195</v>
          </cell>
          <cell r="E100">
            <v>3195</v>
          </cell>
          <cell r="F100">
            <v>3195</v>
          </cell>
          <cell r="G100">
            <v>0</v>
          </cell>
          <cell r="H100">
            <v>0</v>
          </cell>
          <cell r="I100">
            <v>99183.115896520379</v>
          </cell>
          <cell r="J100">
            <v>77856.040013807389</v>
          </cell>
          <cell r="K100">
            <v>21327.075882712998</v>
          </cell>
          <cell r="L100">
            <v>102378.11589652039</v>
          </cell>
        </row>
        <row r="101">
          <cell r="B101" t="str">
            <v>Xã Mường Lai</v>
          </cell>
          <cell r="C101">
            <v>40150</v>
          </cell>
          <cell r="D101">
            <v>13218.5</v>
          </cell>
          <cell r="E101">
            <v>13218.5</v>
          </cell>
          <cell r="F101">
            <v>13106</v>
          </cell>
          <cell r="G101">
            <v>112.5</v>
          </cell>
          <cell r="H101">
            <v>0</v>
          </cell>
          <cell r="I101">
            <v>120666.5123909048</v>
          </cell>
          <cell r="J101">
            <v>93915.938686898793</v>
          </cell>
          <cell r="K101">
            <v>26750.573704005998</v>
          </cell>
          <cell r="L101">
            <v>133885.0123909048</v>
          </cell>
        </row>
        <row r="102">
          <cell r="B102" t="str">
            <v>Xã Cảm Nhân</v>
          </cell>
          <cell r="C102">
            <v>53150</v>
          </cell>
          <cell r="D102">
            <v>2575</v>
          </cell>
          <cell r="E102">
            <v>2575</v>
          </cell>
          <cell r="F102">
            <v>2575</v>
          </cell>
          <cell r="G102">
            <v>0</v>
          </cell>
          <cell r="H102">
            <v>0</v>
          </cell>
          <cell r="I102">
            <v>99518.822219615977</v>
          </cell>
          <cell r="J102">
            <v>80277.734570095985</v>
          </cell>
          <cell r="K102">
            <v>19241.087649519995</v>
          </cell>
          <cell r="L102">
            <v>102093.82221961598</v>
          </cell>
        </row>
        <row r="103">
          <cell r="B103" t="str">
            <v>Xã Yên Thành</v>
          </cell>
          <cell r="C103">
            <v>2800</v>
          </cell>
          <cell r="D103">
            <v>2508</v>
          </cell>
          <cell r="E103">
            <v>2508</v>
          </cell>
          <cell r="F103">
            <v>2508</v>
          </cell>
          <cell r="G103">
            <v>0</v>
          </cell>
          <cell r="H103">
            <v>0</v>
          </cell>
          <cell r="I103">
            <v>108736.77731226124</v>
          </cell>
          <cell r="J103">
            <v>85259.098273690222</v>
          </cell>
          <cell r="K103">
            <v>23477.679038571019</v>
          </cell>
          <cell r="L103">
            <v>111244.77731226124</v>
          </cell>
        </row>
        <row r="104">
          <cell r="B104" t="str">
            <v>Xã Thác Bà</v>
          </cell>
          <cell r="C104">
            <v>252450</v>
          </cell>
          <cell r="D104">
            <v>37605</v>
          </cell>
          <cell r="E104">
            <v>37605</v>
          </cell>
          <cell r="F104">
            <v>37605</v>
          </cell>
          <cell r="G104">
            <v>0</v>
          </cell>
          <cell r="H104">
            <v>0</v>
          </cell>
          <cell r="I104">
            <v>149034.45886744175</v>
          </cell>
          <cell r="J104">
            <v>109438.58657406454</v>
          </cell>
          <cell r="K104">
            <v>39595.872293377201</v>
          </cell>
          <cell r="L104">
            <v>186639.45886744175</v>
          </cell>
        </row>
        <row r="105">
          <cell r="B105" t="str">
            <v>Xã Yên Bình</v>
          </cell>
          <cell r="C105">
            <v>564800</v>
          </cell>
          <cell r="D105">
            <v>99185</v>
          </cell>
          <cell r="E105">
            <v>65185</v>
          </cell>
          <cell r="F105">
            <v>64650</v>
          </cell>
          <cell r="G105">
            <v>535</v>
          </cell>
          <cell r="H105">
            <v>34000</v>
          </cell>
          <cell r="I105">
            <v>113270.70939666647</v>
          </cell>
          <cell r="J105">
            <v>74380.162353045889</v>
          </cell>
          <cell r="K105">
            <v>38890.547043620587</v>
          </cell>
          <cell r="L105">
            <v>212455.70939666647</v>
          </cell>
        </row>
        <row r="106">
          <cell r="B106" t="str">
            <v>Xã Bảo Ái</v>
          </cell>
          <cell r="C106">
            <v>36300</v>
          </cell>
          <cell r="D106">
            <v>8300</v>
          </cell>
          <cell r="E106">
            <v>8300</v>
          </cell>
          <cell r="F106">
            <v>8300</v>
          </cell>
          <cell r="G106">
            <v>0</v>
          </cell>
          <cell r="H106">
            <v>0</v>
          </cell>
          <cell r="I106">
            <v>134578.56937987139</v>
          </cell>
          <cell r="J106">
            <v>105018.60160333219</v>
          </cell>
          <cell r="K106">
            <v>29559.967776539197</v>
          </cell>
          <cell r="L106">
            <v>142878.56937987139</v>
          </cell>
        </row>
        <row r="107">
          <cell r="B107" t="str">
            <v>Phường Văn Phú</v>
          </cell>
          <cell r="C107">
            <v>257000</v>
          </cell>
          <cell r="D107">
            <v>113645</v>
          </cell>
          <cell r="E107">
            <v>62645</v>
          </cell>
          <cell r="F107">
            <v>62350</v>
          </cell>
          <cell r="G107">
            <v>295</v>
          </cell>
          <cell r="H107">
            <v>51000</v>
          </cell>
          <cell r="I107">
            <v>113933.28458980007</v>
          </cell>
          <cell r="J107">
            <v>84608.166392137471</v>
          </cell>
          <cell r="K107">
            <v>29325.118197662599</v>
          </cell>
          <cell r="L107">
            <v>227578.28458980008</v>
          </cell>
        </row>
        <row r="108">
          <cell r="B108" t="str">
            <v>Phường Yên Bái</v>
          </cell>
          <cell r="C108">
            <v>2528855</v>
          </cell>
          <cell r="D108">
            <v>444460</v>
          </cell>
          <cell r="E108">
            <v>308460</v>
          </cell>
          <cell r="F108">
            <v>308010</v>
          </cell>
          <cell r="G108">
            <v>450</v>
          </cell>
          <cell r="H108">
            <v>136000</v>
          </cell>
          <cell r="I108">
            <v>54062.965229710535</v>
          </cell>
          <cell r="J108">
            <v>1.7094997339881957E-2</v>
          </cell>
          <cell r="K108">
            <v>54062.948134713195</v>
          </cell>
          <cell r="L108">
            <v>498522.96522971056</v>
          </cell>
        </row>
        <row r="109">
          <cell r="B109" t="str">
            <v>Phường Nam Cường</v>
          </cell>
          <cell r="C109">
            <v>66000</v>
          </cell>
          <cell r="D109">
            <v>51130</v>
          </cell>
          <cell r="E109">
            <v>8630</v>
          </cell>
          <cell r="F109">
            <v>8625</v>
          </cell>
          <cell r="G109">
            <v>5</v>
          </cell>
          <cell r="H109">
            <v>42500</v>
          </cell>
          <cell r="I109">
            <v>96103.245373039535</v>
          </cell>
          <cell r="J109">
            <v>76985.945484215132</v>
          </cell>
          <cell r="K109">
            <v>19117.2998888244</v>
          </cell>
          <cell r="L109">
            <v>147233.24537303954</v>
          </cell>
        </row>
        <row r="110">
          <cell r="B110" t="str">
            <v>Phường Âu Lâu</v>
          </cell>
          <cell r="C110">
            <v>776850</v>
          </cell>
          <cell r="D110">
            <v>134975</v>
          </cell>
          <cell r="E110">
            <v>49975</v>
          </cell>
          <cell r="F110">
            <v>49975</v>
          </cell>
          <cell r="G110">
            <v>0</v>
          </cell>
          <cell r="H110">
            <v>85000</v>
          </cell>
          <cell r="I110">
            <v>119236.92552438319</v>
          </cell>
          <cell r="J110">
            <v>93835.884925529186</v>
          </cell>
          <cell r="K110">
            <v>25401.040598853997</v>
          </cell>
          <cell r="L110">
            <v>254211.92552438317</v>
          </cell>
        </row>
        <row r="111">
          <cell r="B111" t="str">
            <v>Xã Trấn Yên</v>
          </cell>
          <cell r="C111">
            <v>181720</v>
          </cell>
          <cell r="D111">
            <v>62910</v>
          </cell>
          <cell r="E111">
            <v>20410</v>
          </cell>
          <cell r="F111">
            <v>20375</v>
          </cell>
          <cell r="G111">
            <v>35</v>
          </cell>
          <cell r="H111">
            <v>42500</v>
          </cell>
          <cell r="I111">
            <v>164111.63103400855</v>
          </cell>
          <cell r="J111">
            <v>128130.04884861034</v>
          </cell>
          <cell r="K111">
            <v>35981.582185398198</v>
          </cell>
          <cell r="L111">
            <v>227021.63103400855</v>
          </cell>
        </row>
        <row r="112">
          <cell r="B112" t="str">
            <v>Xã Hưng Khánh</v>
          </cell>
          <cell r="C112">
            <v>24000</v>
          </cell>
          <cell r="D112">
            <v>2615</v>
          </cell>
          <cell r="E112">
            <v>2615</v>
          </cell>
          <cell r="F112">
            <v>2615</v>
          </cell>
          <cell r="G112">
            <v>0</v>
          </cell>
          <cell r="H112">
            <v>0</v>
          </cell>
          <cell r="I112">
            <v>86698.725389383908</v>
          </cell>
          <cell r="J112">
            <v>71793.203875566513</v>
          </cell>
          <cell r="K112">
            <v>14905.521513817401</v>
          </cell>
          <cell r="L112">
            <v>89313.725389383908</v>
          </cell>
        </row>
        <row r="113">
          <cell r="B113" t="str">
            <v>Xã Lương Thịnh</v>
          </cell>
          <cell r="C113">
            <v>91580</v>
          </cell>
          <cell r="D113">
            <v>23015</v>
          </cell>
          <cell r="E113">
            <v>23015</v>
          </cell>
          <cell r="F113">
            <v>22195</v>
          </cell>
          <cell r="G113">
            <v>820</v>
          </cell>
          <cell r="H113">
            <v>0</v>
          </cell>
          <cell r="I113">
            <v>58983.560653550237</v>
          </cell>
          <cell r="J113">
            <v>44156.734550687441</v>
          </cell>
          <cell r="K113">
            <v>14826.826102862795</v>
          </cell>
          <cell r="L113">
            <v>81998.56065355023</v>
          </cell>
        </row>
        <row r="114">
          <cell r="B114" t="str">
            <v>Xã Việt Hồng</v>
          </cell>
          <cell r="C114">
            <v>37300</v>
          </cell>
          <cell r="D114">
            <v>3850</v>
          </cell>
          <cell r="E114">
            <v>3850</v>
          </cell>
          <cell r="F114">
            <v>3850</v>
          </cell>
          <cell r="G114">
            <v>0</v>
          </cell>
          <cell r="H114">
            <v>0</v>
          </cell>
          <cell r="I114">
            <v>77006.394924984954</v>
          </cell>
          <cell r="J114">
            <v>61637.201165053761</v>
          </cell>
          <cell r="K114">
            <v>15369.193759931197</v>
          </cell>
          <cell r="L114">
            <v>80856.394924984954</v>
          </cell>
        </row>
        <row r="115">
          <cell r="B115" t="str">
            <v>Xã Quy Mông</v>
          </cell>
          <cell r="C115">
            <v>107850</v>
          </cell>
          <cell r="D115">
            <v>5075</v>
          </cell>
          <cell r="E115">
            <v>5075</v>
          </cell>
          <cell r="F115">
            <v>5075</v>
          </cell>
          <cell r="G115">
            <v>0</v>
          </cell>
          <cell r="H115">
            <v>0</v>
          </cell>
          <cell r="I115">
            <v>102551.15087122895</v>
          </cell>
          <cell r="J115">
            <v>81418.346300367761</v>
          </cell>
          <cell r="K115">
            <v>21132.804570861197</v>
          </cell>
          <cell r="L115">
            <v>107626.15087122897</v>
          </cell>
        </row>
      </sheetData>
      <sheetData sheetId="10">
        <row r="11">
          <cell r="B11" t="str">
            <v xml:space="preserve">Phường Cam Đường </v>
          </cell>
          <cell r="C11">
            <v>6208.784607999999</v>
          </cell>
        </row>
        <row r="12">
          <cell r="B12" t="str">
            <v xml:space="preserve">Phường Lào Cai </v>
          </cell>
          <cell r="C12">
            <v>11846.937376</v>
          </cell>
        </row>
        <row r="13">
          <cell r="B13" t="str">
            <v xml:space="preserve">Xã Cốc San </v>
          </cell>
          <cell r="C13">
            <v>2250.2492480000001</v>
          </cell>
        </row>
        <row r="14">
          <cell r="B14" t="str">
            <v xml:space="preserve">Xã Hợp Thành  </v>
          </cell>
          <cell r="C14">
            <v>2665.5198719999999</v>
          </cell>
        </row>
        <row r="15">
          <cell r="B15" t="str">
            <v xml:space="preserve">Xã Mường Bo </v>
          </cell>
          <cell r="C15">
            <v>5491.5845120000004</v>
          </cell>
        </row>
        <row r="16">
          <cell r="B16" t="str">
            <v xml:space="preserve">Xã Bản Hồ </v>
          </cell>
          <cell r="C16">
            <v>13491.10368</v>
          </cell>
        </row>
        <row r="17">
          <cell r="B17" t="str">
            <v xml:space="preserve">Phường Sa Pa </v>
          </cell>
          <cell r="C17">
            <v>17210.680288</v>
          </cell>
        </row>
        <row r="18">
          <cell r="B18" t="str">
            <v xml:space="preserve">Xã Tả Phìn </v>
          </cell>
          <cell r="C18">
            <v>9116.1036800000002</v>
          </cell>
        </row>
        <row r="19">
          <cell r="B19" t="str">
            <v xml:space="preserve">Xã Tả Van </v>
          </cell>
          <cell r="C19">
            <v>23311.341408</v>
          </cell>
        </row>
        <row r="20">
          <cell r="B20" t="str">
            <v>Xã Ngũ Chỉ Sơn</v>
          </cell>
          <cell r="C20">
            <v>11477.057951999999</v>
          </cell>
        </row>
        <row r="21">
          <cell r="B21" t="str">
            <v>Xã Phong Hải</v>
          </cell>
          <cell r="C21">
            <v>6142.7212800000007</v>
          </cell>
        </row>
        <row r="22">
          <cell r="B22" t="str">
            <v>Xã Xuân Quang</v>
          </cell>
          <cell r="C22">
            <v>3165.1950720000004</v>
          </cell>
        </row>
        <row r="23">
          <cell r="B23" t="str">
            <v xml:space="preserve">Xã Tằng Loỏng </v>
          </cell>
          <cell r="C23">
            <v>6721.7940159999998</v>
          </cell>
        </row>
        <row r="24">
          <cell r="B24" t="str">
            <v xml:space="preserve">Xã Gia Phú </v>
          </cell>
          <cell r="C24">
            <v>6411.4342080000006</v>
          </cell>
        </row>
        <row r="25">
          <cell r="B25" t="str">
            <v xml:space="preserve">Xã Bảo Thắng </v>
          </cell>
          <cell r="C25">
            <v>8225.0541759999996</v>
          </cell>
        </row>
        <row r="26">
          <cell r="B26" t="str">
            <v xml:space="preserve">Xã Bảo Yên </v>
          </cell>
          <cell r="C26">
            <v>3852.9866239999997</v>
          </cell>
        </row>
        <row r="27">
          <cell r="B27" t="str">
            <v>Xã Nghĩa Đô</v>
          </cell>
          <cell r="C27">
            <v>5810.4772160000002</v>
          </cell>
        </row>
        <row r="28">
          <cell r="B28" t="str">
            <v xml:space="preserve">Xã Thượng Hà </v>
          </cell>
          <cell r="C28">
            <v>6230.4324480000005</v>
          </cell>
        </row>
        <row r="29">
          <cell r="B29" t="str">
            <v>Xã Xuân Hoà</v>
          </cell>
          <cell r="C29">
            <v>5184.1931200000008</v>
          </cell>
        </row>
        <row r="30">
          <cell r="B30" t="str">
            <v xml:space="preserve">Xã Phúc Khánh </v>
          </cell>
          <cell r="C30">
            <v>2491.0753599999998</v>
          </cell>
        </row>
        <row r="31">
          <cell r="B31" t="str">
            <v xml:space="preserve">Xã Bảo Hà </v>
          </cell>
          <cell r="C31">
            <v>20976.863487999999</v>
          </cell>
        </row>
        <row r="32">
          <cell r="B32" t="str">
            <v xml:space="preserve">Xã Mường Hum </v>
          </cell>
          <cell r="C32">
            <v>2470.7180159999998</v>
          </cell>
        </row>
        <row r="33">
          <cell r="B33" t="str">
            <v>Xã Dền Sáng</v>
          </cell>
          <cell r="C33">
            <v>23860.200064000001</v>
          </cell>
        </row>
        <row r="34">
          <cell r="B34" t="str">
            <v>Xã Y Tý</v>
          </cell>
          <cell r="C34">
            <v>20840.567967999999</v>
          </cell>
        </row>
        <row r="35">
          <cell r="B35" t="str">
            <v xml:space="preserve">Xã A Mú Sung </v>
          </cell>
          <cell r="C35">
            <v>10234.762432</v>
          </cell>
        </row>
        <row r="36">
          <cell r="B36" t="str">
            <v>Xã Trịnh Tường</v>
          </cell>
          <cell r="C36">
            <v>15592.362688000001</v>
          </cell>
        </row>
        <row r="37">
          <cell r="B37" t="str">
            <v xml:space="preserve">Xã Bản Xèo </v>
          </cell>
          <cell r="C37">
            <v>12695.182272</v>
          </cell>
        </row>
        <row r="38">
          <cell r="B38" t="str">
            <v>Xã Bát Xát</v>
          </cell>
          <cell r="C38">
            <v>10006.454336000001</v>
          </cell>
        </row>
        <row r="39">
          <cell r="B39" t="str">
            <v>Xã Cốc Lầu</v>
          </cell>
          <cell r="C39">
            <v>16966.727776</v>
          </cell>
        </row>
        <row r="40">
          <cell r="B40" t="str">
            <v>Xã Bảo Nhai</v>
          </cell>
          <cell r="C40">
            <v>23300.073664</v>
          </cell>
        </row>
        <row r="41">
          <cell r="B41" t="str">
            <v xml:space="preserve">Xả Tả Củ Tỷ </v>
          </cell>
          <cell r="C41">
            <v>21419.646335999998</v>
          </cell>
        </row>
        <row r="42">
          <cell r="B42" t="str">
            <v>Xã Bản Liền</v>
          </cell>
          <cell r="C42">
            <v>10568.654784</v>
          </cell>
        </row>
        <row r="43">
          <cell r="B43" t="str">
            <v xml:space="preserve">Xã Lùng Phình  </v>
          </cell>
          <cell r="C43">
            <v>17518.783263999998</v>
          </cell>
        </row>
        <row r="44">
          <cell r="B44" t="str">
            <v xml:space="preserve">Xã Bắc Hà </v>
          </cell>
          <cell r="C44">
            <v>30678.689760000001</v>
          </cell>
        </row>
        <row r="45">
          <cell r="B45" t="str">
            <v>Xã Si Ma Cai</v>
          </cell>
          <cell r="C45">
            <v>25024.732064</v>
          </cell>
        </row>
        <row r="46">
          <cell r="B46" t="str">
            <v>Xã Sìn Chéng</v>
          </cell>
          <cell r="C46">
            <v>9926.6961920000012</v>
          </cell>
        </row>
        <row r="47">
          <cell r="B47" t="str">
            <v xml:space="preserve">Xã Võ Lao </v>
          </cell>
          <cell r="C47">
            <v>7293.5646399999996</v>
          </cell>
        </row>
        <row r="48">
          <cell r="B48" t="str">
            <v>Xã Khánh Yên</v>
          </cell>
          <cell r="C48">
            <v>3000.2789760000005</v>
          </cell>
        </row>
        <row r="49">
          <cell r="B49" t="str">
            <v>Xã Văn Bàn</v>
          </cell>
          <cell r="C49">
            <v>10840.268672000002</v>
          </cell>
        </row>
        <row r="50">
          <cell r="B50" t="str">
            <v xml:space="preserve">Xã Dương Quỳ </v>
          </cell>
          <cell r="C50">
            <v>4451.4083520000004</v>
          </cell>
        </row>
        <row r="51">
          <cell r="B51" t="str">
            <v xml:space="preserve">Xã Chiềng Ken </v>
          </cell>
          <cell r="C51">
            <v>13590.574752</v>
          </cell>
        </row>
        <row r="52">
          <cell r="B52" t="str">
            <v xml:space="preserve">Xã Minh Lương </v>
          </cell>
          <cell r="C52">
            <v>8978.8195200000009</v>
          </cell>
        </row>
        <row r="53">
          <cell r="B53" t="str">
            <v xml:space="preserve">Xã Nậm Chày  </v>
          </cell>
          <cell r="C53">
            <v>11818.603423999999</v>
          </cell>
        </row>
        <row r="54">
          <cell r="B54" t="str">
            <v>Xã Nậm Xé</v>
          </cell>
          <cell r="C54">
            <v>2966.9122240000002</v>
          </cell>
        </row>
        <row r="55">
          <cell r="B55" t="str">
            <v>Xã Pha Long</v>
          </cell>
          <cell r="C55">
            <v>22969.890208000001</v>
          </cell>
        </row>
        <row r="56">
          <cell r="B56" t="str">
            <v xml:space="preserve">Xã Mường Khương </v>
          </cell>
          <cell r="C56">
            <v>24037.046144</v>
          </cell>
        </row>
        <row r="57">
          <cell r="B57" t="str">
            <v>Xã Bản Lầu</v>
          </cell>
          <cell r="C57">
            <v>7711.7019200000004</v>
          </cell>
        </row>
        <row r="58">
          <cell r="B58" t="str">
            <v>Xã Cao Sơn</v>
          </cell>
          <cell r="C58">
            <v>26220.149968000002</v>
          </cell>
        </row>
        <row r="59">
          <cell r="B59" t="str">
            <v>Xã Khao Mang</v>
          </cell>
          <cell r="C59">
            <v>21092.7896</v>
          </cell>
        </row>
        <row r="60">
          <cell r="B60" t="str">
            <v>Xã Mù Cang Chải</v>
          </cell>
          <cell r="C60">
            <v>8173.2051519999995</v>
          </cell>
        </row>
        <row r="61">
          <cell r="B61" t="str">
            <v>Xã Púng Luông</v>
          </cell>
          <cell r="C61">
            <v>32410.364000000001</v>
          </cell>
        </row>
        <row r="62">
          <cell r="B62" t="str">
            <v>Xã Chế Tạo</v>
          </cell>
          <cell r="C62">
            <v>9188.3429119999983</v>
          </cell>
        </row>
        <row r="63">
          <cell r="B63" t="str">
            <v>Xã Nậm Có</v>
          </cell>
          <cell r="C63">
            <v>20607.932159999997</v>
          </cell>
        </row>
        <row r="64">
          <cell r="B64" t="str">
            <v>Xã Lao Chải</v>
          </cell>
          <cell r="C64">
            <v>17868.015456000001</v>
          </cell>
        </row>
        <row r="65">
          <cell r="B65" t="str">
            <v>Xã Tú Lệ</v>
          </cell>
          <cell r="C65">
            <v>6843.7735999999995</v>
          </cell>
        </row>
        <row r="66">
          <cell r="B66" t="str">
            <v>Xã Cát Thịnh</v>
          </cell>
          <cell r="C66">
            <v>12958.23552</v>
          </cell>
        </row>
        <row r="67">
          <cell r="B67" t="str">
            <v>Xã Trạm Tấu</v>
          </cell>
          <cell r="C67">
            <v>28998.135584</v>
          </cell>
        </row>
        <row r="68">
          <cell r="B68" t="str">
            <v>Xã Hạnh Phúc</v>
          </cell>
          <cell r="C68">
            <v>16903.625919999999</v>
          </cell>
        </row>
        <row r="69">
          <cell r="B69" t="str">
            <v>Xã Phình Hồ</v>
          </cell>
          <cell r="C69">
            <v>27744.312895999999</v>
          </cell>
        </row>
        <row r="70">
          <cell r="B70" t="str">
            <v>Xã Tà Xi Láng</v>
          </cell>
          <cell r="C70">
            <v>6019.0628319999996</v>
          </cell>
        </row>
        <row r="71">
          <cell r="B71" t="str">
            <v>Xã Liên Sơn</v>
          </cell>
          <cell r="C71">
            <v>3447.8630400000002</v>
          </cell>
        </row>
        <row r="72">
          <cell r="B72" t="str">
            <v>Phường Nghĩa Lộ</v>
          </cell>
          <cell r="C72">
            <v>4271.9839680000005</v>
          </cell>
        </row>
        <row r="73">
          <cell r="B73" t="str">
            <v>Phường Trung Tâm</v>
          </cell>
          <cell r="C73">
            <v>6220.0966399999998</v>
          </cell>
        </row>
        <row r="74">
          <cell r="B74" t="str">
            <v>Phường Cầu Thia</v>
          </cell>
          <cell r="C74">
            <v>5370.6487999999999</v>
          </cell>
        </row>
        <row r="75">
          <cell r="B75" t="str">
            <v>Xã Gia Hội</v>
          </cell>
          <cell r="C75">
            <v>11496.67488</v>
          </cell>
        </row>
        <row r="76">
          <cell r="B76" t="str">
            <v>Xã Sơn Lương</v>
          </cell>
          <cell r="C76">
            <v>6103.7566080000006</v>
          </cell>
        </row>
        <row r="77">
          <cell r="B77" t="str">
            <v>Xã Văn Chấn</v>
          </cell>
          <cell r="C77">
            <v>6326.6204799999996</v>
          </cell>
        </row>
        <row r="78">
          <cell r="B78" t="str">
            <v>Xã Thượng Bằng La</v>
          </cell>
          <cell r="C78">
            <v>2490.3517120000001</v>
          </cell>
        </row>
        <row r="79">
          <cell r="B79" t="str">
            <v>Xã Chấn Thịnh</v>
          </cell>
          <cell r="C79">
            <v>6098.7291840000007</v>
          </cell>
        </row>
        <row r="80">
          <cell r="B80" t="str">
            <v>Xã Nghĩa Tâm</v>
          </cell>
          <cell r="C80">
            <v>5867.99568</v>
          </cell>
        </row>
        <row r="81">
          <cell r="B81" t="str">
            <v>Xã Phong Dụ Hạ</v>
          </cell>
          <cell r="C81">
            <v>4214.5152960000005</v>
          </cell>
        </row>
        <row r="82">
          <cell r="B82" t="str">
            <v>Xã Châu Quế</v>
          </cell>
          <cell r="C82">
            <v>12343.392608</v>
          </cell>
        </row>
        <row r="83">
          <cell r="B83" t="str">
            <v>Xã Lâm Giang</v>
          </cell>
          <cell r="C83">
            <v>9512.7062079999996</v>
          </cell>
        </row>
        <row r="84">
          <cell r="B84" t="str">
            <v>Xã Đông Cuông</v>
          </cell>
          <cell r="C84">
            <v>2937.8943680000002</v>
          </cell>
        </row>
        <row r="85">
          <cell r="B85" t="str">
            <v>Xã Tân Hợp</v>
          </cell>
          <cell r="C85">
            <v>2881.9866239999997</v>
          </cell>
        </row>
        <row r="86">
          <cell r="B86" t="str">
            <v>Xã Mậu A</v>
          </cell>
          <cell r="C86">
            <v>7020.747488</v>
          </cell>
        </row>
        <row r="87">
          <cell r="B87" t="str">
            <v>Xã Xuân Ái</v>
          </cell>
          <cell r="C87">
            <v>7829.255376000001</v>
          </cell>
        </row>
        <row r="88">
          <cell r="B88" t="str">
            <v>Xã Mỏ Vàng</v>
          </cell>
          <cell r="C88">
            <v>15360.888896</v>
          </cell>
        </row>
        <row r="89">
          <cell r="B89" t="str">
            <v>Xã Phong Dụ Thượng</v>
          </cell>
          <cell r="C89">
            <v>12222.257855999998</v>
          </cell>
        </row>
        <row r="90">
          <cell r="B90" t="str">
            <v>Xã Lâm Thượng</v>
          </cell>
          <cell r="C90">
            <v>7933.2238079999997</v>
          </cell>
        </row>
        <row r="91">
          <cell r="B91" t="str">
            <v>Xã Lục Yên</v>
          </cell>
          <cell r="C91">
            <v>8908.3355200000005</v>
          </cell>
        </row>
        <row r="92">
          <cell r="B92" t="str">
            <v>Xã Tân Lĩnh</v>
          </cell>
          <cell r="C92">
            <v>6707.2584639999995</v>
          </cell>
        </row>
        <row r="93">
          <cell r="B93" t="str">
            <v>Xã Khánh Hoà</v>
          </cell>
          <cell r="C93">
            <v>5899.1961920000003</v>
          </cell>
        </row>
        <row r="94">
          <cell r="B94" t="str">
            <v>Xã Phúc Lợi</v>
          </cell>
          <cell r="C94">
            <v>7959.8549119999998</v>
          </cell>
        </row>
        <row r="95">
          <cell r="B95" t="str">
            <v>Xã Mường Lai</v>
          </cell>
          <cell r="C95">
            <v>7631.8768319999999</v>
          </cell>
        </row>
        <row r="96">
          <cell r="B96" t="str">
            <v>Xã Cảm Nhân</v>
          </cell>
          <cell r="C96">
            <v>5315.5319999999992</v>
          </cell>
        </row>
        <row r="97">
          <cell r="B97" t="str">
            <v>Xã Yên Thành</v>
          </cell>
          <cell r="C97">
            <v>5123.9311999999991</v>
          </cell>
        </row>
        <row r="98">
          <cell r="B98" t="str">
            <v>Xã Thác Bà</v>
          </cell>
          <cell r="C98">
            <v>8923.6640000000007</v>
          </cell>
        </row>
        <row r="99">
          <cell r="B99" t="str">
            <v>Xã Yên Bình</v>
          </cell>
          <cell r="C99">
            <v>3714.3366720000004</v>
          </cell>
        </row>
        <row r="100">
          <cell r="B100" t="str">
            <v>Xã Bảo Ái</v>
          </cell>
          <cell r="C100">
            <v>10036.8976</v>
          </cell>
        </row>
        <row r="101">
          <cell r="B101" t="str">
            <v>Phường Văn Phú</v>
          </cell>
          <cell r="C101">
            <v>3515.6469120000002</v>
          </cell>
        </row>
        <row r="102">
          <cell r="B102" t="str">
            <v>Phường Yên Bái</v>
          </cell>
          <cell r="C102">
            <v>13767.726640000001</v>
          </cell>
        </row>
        <row r="103">
          <cell r="B103" t="str">
            <v>Phường Nam Cường</v>
          </cell>
          <cell r="C103">
            <v>2290.285312</v>
          </cell>
        </row>
        <row r="104">
          <cell r="B104" t="str">
            <v>Phường Âu Lâu</v>
          </cell>
          <cell r="C104">
            <v>1467.8569919999998</v>
          </cell>
        </row>
        <row r="105">
          <cell r="B105" t="str">
            <v>Xã Trấn Yên</v>
          </cell>
          <cell r="C105">
            <v>8470.5398400000013</v>
          </cell>
        </row>
        <row r="106">
          <cell r="B106" t="str">
            <v>Xã Hưng Khánh</v>
          </cell>
          <cell r="C106">
            <v>4499.4831999999997</v>
          </cell>
        </row>
        <row r="107">
          <cell r="B107" t="str">
            <v>Xã Lương Thịnh</v>
          </cell>
          <cell r="C107">
            <v>2602.2828479999998</v>
          </cell>
        </row>
        <row r="108">
          <cell r="B108" t="str">
            <v>Xã Việt Hồng</v>
          </cell>
          <cell r="C108">
            <v>2289.2842559999999</v>
          </cell>
        </row>
        <row r="109">
          <cell r="B109" t="str">
            <v>Xã Quy Mông</v>
          </cell>
          <cell r="C109">
            <v>2339.8478879999998</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ngatang"/>
      <sheetName val="Cân đối NSĐP 2025 (PL 01)"/>
      <sheetName val="Cân đối NS tỉnh 2025 (PL 02)"/>
      <sheetName val="Thu NSDP 2025 (PL 03)"/>
      <sheetName val="Chi NSDP 2025 (PL 04)"/>
      <sheetName val="CTMT 2025 (PL 05)"/>
      <sheetName val="Chi thường xuyên 2025 (PL 06)"/>
      <sheetName val="Thu NS huyện (PL 7)"/>
      <sheetName val="Chi NS huyện (PL 8)"/>
      <sheetName val="BS cân đối NSH (PL 09)"/>
      <sheetName val="BS mục tiêu huyện (PL 10)"/>
      <sheetName val="Vay trả nợ 2025 (PL 11)"/>
      <sheetName val="Thu chi 2025-2027 (PL 12)"/>
      <sheetName val="Khoán chi QLHC tỉnh (PL 13)"/>
      <sheetName val="Khoán chi QLHC huyện (PL 14)"/>
    </sheetNames>
    <sheetDataSet>
      <sheetData sheetId="0"/>
      <sheetData sheetId="1"/>
      <sheetData sheetId="2"/>
      <sheetData sheetId="3"/>
      <sheetData sheetId="4"/>
      <sheetData sheetId="5"/>
      <sheetData sheetId="6">
        <row r="12">
          <cell r="B12" t="str">
            <v>Sở Nông nghiệp và các đơn vị trực thuộc</v>
          </cell>
          <cell r="C12">
            <v>353978.45</v>
          </cell>
        </row>
        <row r="13">
          <cell r="B13" t="str">
            <v>Trung tâm khuyến nông</v>
          </cell>
          <cell r="C13">
            <v>5124.0999999999995</v>
          </cell>
        </row>
        <row r="14">
          <cell r="B14" t="str">
            <v>Chi cục thuỷ sản</v>
          </cell>
          <cell r="C14">
            <v>3792.3</v>
          </cell>
        </row>
        <row r="15">
          <cell r="B15" t="str">
            <v xml:space="preserve">Chi cục trồng trọt và bảo vệ thực vật </v>
          </cell>
          <cell r="C15">
            <v>4434.8999999999996</v>
          </cell>
        </row>
        <row r="16">
          <cell r="B16" t="str">
            <v>Chi cục chăn nuôi thú y (Kinh phí mua vắc xin, thuốc sát trùng, phòng chống dịch lở mồm long móng, gia súc, gia cầm 5.000 triệu đồng)</v>
          </cell>
          <cell r="C16">
            <v>9992.2999999999993</v>
          </cell>
        </row>
        <row r="17">
          <cell r="B17" t="str">
            <v>Ban quản lý rừng phòng hộ huyện Trạm Tấu</v>
          </cell>
          <cell r="C17">
            <v>4820.3499999999995</v>
          </cell>
        </row>
        <row r="18">
          <cell r="B18" t="str">
            <v>Văn phòng Sở Nông nghiệp &amp; PTNT</v>
          </cell>
          <cell r="C18">
            <v>11357.800000000001</v>
          </cell>
        </row>
        <row r="19">
          <cell r="B19" t="str">
            <v>Chi cục phát triển nông thôn</v>
          </cell>
          <cell r="C19">
            <v>4483</v>
          </cell>
        </row>
        <row r="20">
          <cell r="B20" t="str">
            <v>Chi cục chất lượng, chế biến và phát triển thị trường</v>
          </cell>
          <cell r="C20">
            <v>4234.1000000000004</v>
          </cell>
        </row>
        <row r="21">
          <cell r="B21" t="str">
            <v>Chi cục kiểm lâm</v>
          </cell>
          <cell r="C21">
            <v>70123.399999999994</v>
          </cell>
        </row>
        <row r="22">
          <cell r="B22" t="str">
            <v>Chi thực hiện công tác phòng, chống dịch bệnh ban đầu cho gia súc, gia cầm</v>
          </cell>
          <cell r="C22">
            <v>2000</v>
          </cell>
        </row>
        <row r="23">
          <cell r="B23" t="str">
            <v>Kinh phí bảo vệ và phát triển đất trồng lúa  (trong đó số thu tiền bảo vệ và phát triển đất trồng lúa là 5.000 triệu đồng)</v>
          </cell>
          <cell r="C23">
            <v>43238</v>
          </cell>
        </row>
        <row r="24">
          <cell r="B24" t="str">
            <v>Khen thưởng cho các xã có thành tích đạt chuẩn trong xây dựng nông thôn mới, nông thôn mới kiểu mẫu</v>
          </cell>
          <cell r="C24">
            <v>30000</v>
          </cell>
        </row>
        <row r="25">
          <cell r="B25" t="str">
            <v>Các chính sách của tỉnh thực hiện Chương trình MTQG xây dựng nông thôn mới và chính sách hỗ trợ phát triển sản xuất nông, lâm nghiệp và thủy sản gắn với tái cơ cấu ngành nông nghiệp</v>
          </cell>
          <cell r="C25">
            <v>90000</v>
          </cell>
        </row>
        <row r="26">
          <cell r="B26" t="str">
            <v>Kinh phí sản phẩm, dịch vụ công ích thuỷ lợi</v>
          </cell>
          <cell r="C26">
            <v>52402</v>
          </cell>
        </row>
        <row r="27">
          <cell r="B27" t="str">
            <v>Kinh phí mua sắm, sửa chữa trang thiết bị làm việc; kinh phí sửa chữa nhà làm việc của các đơn vị (được thực hiện phân bổ và giao dự toán cho các cơ quan, đơn vị trực thuộc khi đảm bảo các  quy định tại Nghị định số 138/2024/NĐ-CP ngày 24/10/2024 của Chính phủ)</v>
          </cell>
          <cell r="C27">
            <v>440</v>
          </cell>
        </row>
        <row r="28">
          <cell r="B28" t="str">
            <v>Chi công tác xúc tiến thương mại trong lĩnh vực nông nghiệp của tỉnh</v>
          </cell>
          <cell r="C28">
            <v>2500</v>
          </cell>
        </row>
        <row r="29">
          <cell r="B29" t="str">
            <v xml:space="preserve">Chi cục thuỷ lợi </v>
          </cell>
          <cell r="C29">
            <v>15036.2</v>
          </cell>
        </row>
        <row r="30">
          <cell r="B30" t="str">
            <v>- Văn phòng chi cục</v>
          </cell>
          <cell r="C30">
            <v>4536.2</v>
          </cell>
        </row>
        <row r="31">
          <cell r="B31" t="str">
            <v>- Duy tu, sửa chữa công trình thuỷ lợi đầu mối</v>
          </cell>
          <cell r="C31">
            <v>10000</v>
          </cell>
        </row>
        <row r="32">
          <cell r="B32" t="str">
            <v>- Ban chỉ đạo phòng chống bão lũ tỉnh</v>
          </cell>
          <cell r="C32">
            <v>500</v>
          </cell>
        </row>
        <row r="33">
          <cell r="B33" t="str">
            <v>Sở Tài nguyên MT và các đơn vị trực thuộc</v>
          </cell>
          <cell r="C33">
            <v>31897.79</v>
          </cell>
        </row>
        <row r="34">
          <cell r="B34" t="str">
            <v>Chi cục Bảo vệ môi trường</v>
          </cell>
          <cell r="C34">
            <v>2661.6</v>
          </cell>
        </row>
        <row r="35">
          <cell r="B35" t="str">
            <v>Chi cục Quản lý đất đai</v>
          </cell>
          <cell r="C35">
            <v>3961.07</v>
          </cell>
        </row>
        <row r="36">
          <cell r="B36" t="str">
            <v>Trung tâm phát triển quỹ đất</v>
          </cell>
          <cell r="C36">
            <v>7527.6</v>
          </cell>
        </row>
        <row r="37">
          <cell r="B37" t="str">
            <v>Chi xây dựng giá đất, kiểm kê đất đai</v>
          </cell>
          <cell r="C37">
            <v>1500</v>
          </cell>
        </row>
        <row r="38">
          <cell r="B38" t="str">
            <v>Xây dựng bảng giá đất lần đầu theo quy định của Luật Đất đai</v>
          </cell>
          <cell r="C38">
            <v>1700</v>
          </cell>
        </row>
        <row r="39">
          <cell r="B39" t="str">
            <v>Kinh phí tăng cường năng lực lãnh đạo của Đảng trong công tác quản lý tài nguyên đất đai, nước, khoáng sản trên địa bàn tỉnh Yên Bái giai đoạn 2021-2025 theo Nghị quyết số 50-NQ/TU ngày 19/7/2021 của Tỉnh ủy Yên Bái</v>
          </cell>
          <cell r="C39">
            <v>1500</v>
          </cell>
        </row>
        <row r="40">
          <cell r="B40" t="str">
            <v xml:space="preserve">Sở Tài nguyên và Môi trường </v>
          </cell>
          <cell r="C40">
            <v>13047.52</v>
          </cell>
        </row>
        <row r="41">
          <cell r="B41" t="str">
            <v>- Văn phòng Sở Tài nguyên và Môi trường (trong đó kinh phí mua sắm trang thiết bị làm việc được thực hiện khi đảm bảo các quy định tại Nghị định số 138/2024/NĐ-CP ngày 24/10/2024 của Chính phủ 200 triệu đồng)</v>
          </cell>
          <cell r="C41">
            <v>9547.52</v>
          </cell>
        </row>
        <row r="42">
          <cell r="B42" t="str">
            <v>- Ban Chỉ đạo ứng phó với biến đổi khí hậu</v>
          </cell>
          <cell r="C42">
            <v>200</v>
          </cell>
        </row>
        <row r="43">
          <cell r="B43" t="str">
            <v>- Chi sự nghiệp bảo vệ môi trường (trong đó đã bao gồm kinh phí lập báo cáo tổng quan về hiện trạng môi trường tỉnh Yên Bái giai đoạn 2021-2025 theo quy định của Luật Bảo vệ  môi trường)</v>
          </cell>
          <cell r="C43">
            <v>3300</v>
          </cell>
        </row>
        <row r="44">
          <cell r="B44" t="str">
            <v>Văn phòng Ủy ban nhân dân  tỉnh và các đơn vị trực thuộc</v>
          </cell>
          <cell r="C44">
            <v>73369.797003999993</v>
          </cell>
        </row>
        <row r="45">
          <cell r="B45" t="str">
            <v>Văn phòng UBND tỉnh (trong đó thuê dịch vụ công nghệ thông tin " Hệ thống phần mềm quản lý văn bản và điều hành" theo Quyết định số 2173/QĐ-UBND ngày 8/10/2019 của UBND tỉnh là 2.331 triệu đồng)</v>
          </cell>
          <cell r="C45">
            <v>35693.630000000005</v>
          </cell>
        </row>
        <row r="46">
          <cell r="B46" t="str">
            <v>Cổng thông tin điện tử</v>
          </cell>
          <cell r="C46">
            <v>4029.5636439999998</v>
          </cell>
        </row>
        <row r="47">
          <cell r="B47" t="str">
            <v>Trung tâm phục vụ hành chính công (trong đó: Thuê dịch vụ CNTT "Hệ thống Cổng dịch vụ hành chính công trực tuyến tỉnh Yên Bái" giai đoạn 2021-2025 theo Quyết định số 2224/QĐ-UBND ngày 28/9/2020 của UBND tỉnh là 1.940 triệu đồng và Kế hoạch thuê dịch vụ CNTT “Xây dựng chức năng mở rộng phần mềm Cổng dịch vụ công tỉnh Yên Bái; Kho lưu trữ điện tử của tổ chức, cá nhân; Xây dựng ứng dụng (app) Cổng dịch vụ công của tỉnh trên nền tảng thiết bị thông minh” là 3.238 triệu đồng)</v>
          </cell>
          <cell r="C47">
            <v>11314.003359999999</v>
          </cell>
        </row>
        <row r="48">
          <cell r="B48" t="str">
            <v>Nhà khách Hào gia</v>
          </cell>
          <cell r="C48">
            <v>1286.5999999999999</v>
          </cell>
        </row>
        <row r="49">
          <cell r="B49" t="str">
            <v>Chi thực hiện các hoạt động hợp tác đầu tư với các tỉnh trong và ngoài nước của tỉnh</v>
          </cell>
          <cell r="C49">
            <v>20000</v>
          </cell>
        </row>
        <row r="50">
          <cell r="B50" t="str">
            <v>Kinh phí mua sắm, sửa chữa trang thiết bị làm việc của các đơn vị (được thực hiện phân bổ và giao dự toán cho các cơ quan, đơn vị trực thuộc khi đảm bảo các  quy định tại Nghị định số 138/2024/NĐ-CP ngày 24/10/2024 của Chính phủ)</v>
          </cell>
          <cell r="C50">
            <v>1046</v>
          </cell>
        </row>
        <row r="51">
          <cell r="B51" t="str">
            <v>Sở Công thương và các đơn vị trực thuộc</v>
          </cell>
          <cell r="C51">
            <v>22138.725760000001</v>
          </cell>
        </row>
        <row r="52">
          <cell r="B52" t="str">
            <v>Trung tâm khuyến công và xúc tiến thương mại (đã bao gồm Chương trình sử dụng năng lượng tiết kiệm 1.000 triệu đồng)</v>
          </cell>
          <cell r="C52">
            <v>4110.8</v>
          </cell>
        </row>
        <row r="53">
          <cell r="B53" t="str">
            <v>Chi khuyến công địa phương</v>
          </cell>
          <cell r="C53">
            <v>3500</v>
          </cell>
        </row>
        <row r="54">
          <cell r="B54" t="str">
            <v>Chi công tác xúc tiến thương mại trong lĩnh vực công thương của tỉnh</v>
          </cell>
          <cell r="C54">
            <v>2500</v>
          </cell>
        </row>
        <row r="55">
          <cell r="B55" t="str">
            <v>Văn phòng Sở Công thương</v>
          </cell>
          <cell r="C55">
            <v>12027.925760000002</v>
          </cell>
        </row>
        <row r="56">
          <cell r="B56" t="str">
            <v>Sở Tư pháp và các đơn vị trực thuộc</v>
          </cell>
          <cell r="C56">
            <v>22891.283831999997</v>
          </cell>
        </row>
        <row r="57">
          <cell r="B57" t="str">
            <v>Trung tâm Dịch vụ đấu giá tài sản</v>
          </cell>
          <cell r="C57">
            <v>1006.424532</v>
          </cell>
        </row>
        <row r="58">
          <cell r="B58" t="str">
            <v>Trung tâm trợ giúp Pháp lý nhà nước (trong đó: trợ giúp pháp lý theo Thông tư số 59/2020/TT-BTC ngày 18/6/2020 của Bộ Tài chính là 1.800 triệu đồng)</v>
          </cell>
          <cell r="C58">
            <v>5505.35</v>
          </cell>
        </row>
        <row r="59">
          <cell r="B59" t="str">
            <v>Chi xây dựng văn bản quy phạm pháp luật của tỉnh</v>
          </cell>
          <cell r="C59">
            <v>1500</v>
          </cell>
        </row>
        <row r="60">
          <cell r="B60" t="str">
            <v>Đề án tăng cường công tác tuyên truyền, phổ biến, giáo dục pháp luật, hòa giải ở cơ sở, xây dựng xã, phường, thị trấn đạt chuẩn tiếp cận pháp luật trên địa bàn tỉnh Yên Bái giai đoạn từ năm 2022-2026 theo Quyết định số 2778/QĐ-UBND ngày 7/12/2021 của UBND tỉnh</v>
          </cell>
          <cell r="C60">
            <v>5800</v>
          </cell>
        </row>
        <row r="61">
          <cell r="B61" t="str">
            <v xml:space="preserve">Văn phòng Sở Tư pháp </v>
          </cell>
          <cell r="C61">
            <v>8899.5092999999979</v>
          </cell>
        </row>
        <row r="62">
          <cell r="B62" t="str">
            <v>Phòng công chứng số 1</v>
          </cell>
          <cell r="C62">
            <v>180</v>
          </cell>
        </row>
        <row r="63">
          <cell r="B63" t="str">
            <v xml:space="preserve">Sở Xây dựng </v>
          </cell>
          <cell r="C63">
            <v>13950.744659999998</v>
          </cell>
        </row>
        <row r="64">
          <cell r="B64" t="str">
            <v>Văn phòng Sở Xây dựng (trong đó kinh phí mua sắm trang thiết bị làm việc được thực hiện khi đảm bảo các quy định tại Nghị định số 138/2024/NĐ-CP ngày 24/10/2024 của Chính phủ 60 triệu đồng)</v>
          </cell>
          <cell r="C64">
            <v>13950.744659999998</v>
          </cell>
        </row>
        <row r="65">
          <cell r="B65" t="str">
            <v>Sở Khoa học và các đơn vị trực thuộc</v>
          </cell>
          <cell r="C65">
            <v>35455.384100000003</v>
          </cell>
        </row>
        <row r="66">
          <cell r="B66" t="str">
            <v>Trung tâm ứng dụng kỹ thuật, thông tin khoa học và công nghệ</v>
          </cell>
          <cell r="C66">
            <v>3930.2999999999997</v>
          </cell>
        </row>
        <row r="67">
          <cell r="B67" t="str">
            <v xml:space="preserve">Sở khoa học và Công nghệ </v>
          </cell>
          <cell r="C67">
            <v>31525.0841</v>
          </cell>
        </row>
        <row r="68">
          <cell r="B68" t="str">
            <v xml:space="preserve">- Văn phòng Sở khoa học và Công nghệ </v>
          </cell>
          <cell r="C68">
            <v>7031.0841000000009</v>
          </cell>
        </row>
        <row r="69">
          <cell r="B69" t="str">
            <v>- Đặt hàng thực hiện nhãn hiệu, thương hiệu, chỉ dẫn địa lý, truy xuất nguồn gốc sản phẩm nông lâm nghiệp chủ lực của tỉnh.</v>
          </cell>
          <cell r="C69">
            <v>5000</v>
          </cell>
        </row>
        <row r="70">
          <cell r="B70" t="str">
            <v>- Chi sự nghiệp khoa học và công nghệ</v>
          </cell>
          <cell r="C70">
            <v>19494</v>
          </cell>
        </row>
        <row r="71">
          <cell r="B71" t="str">
            <v>BQL khu công nghiệp và các đơn vị trực thuộc</v>
          </cell>
          <cell r="C71">
            <v>7619.2644839999994</v>
          </cell>
        </row>
        <row r="72">
          <cell r="B72" t="str">
            <v>Trung tâm phát triển hạ tầng và dịch vụ khu công nghiệp</v>
          </cell>
          <cell r="C72">
            <v>2887.0742040000005</v>
          </cell>
        </row>
        <row r="73">
          <cell r="B73" t="str">
            <v>Văn phòng Ban quản lý các khu công nghiệp</v>
          </cell>
          <cell r="C73">
            <v>4732.1902799999989</v>
          </cell>
        </row>
        <row r="74">
          <cell r="B74" t="str">
            <v>Sở Văn hoá TT&amp;DL và các đơn vị trực thuộc</v>
          </cell>
          <cell r="C74">
            <v>116045.12</v>
          </cell>
        </row>
        <row r="75">
          <cell r="B75" t="str">
            <v xml:space="preserve">Thư viện tỉnh </v>
          </cell>
          <cell r="C75">
            <v>7539.25</v>
          </cell>
        </row>
        <row r="76">
          <cell r="B76" t="str">
            <v>Trung tâm văn hóa tỉnh</v>
          </cell>
          <cell r="C76">
            <v>17458.05</v>
          </cell>
        </row>
        <row r="77">
          <cell r="B77" t="str">
            <v>Bảo tàng tỉnh</v>
          </cell>
          <cell r="C77">
            <v>6023.8200000000006</v>
          </cell>
        </row>
        <row r="78">
          <cell r="B78" t="str">
            <v>Trung tâm quản lý di tích và phát triển du lịch</v>
          </cell>
          <cell r="C78">
            <v>5018.5499999999993</v>
          </cell>
        </row>
        <row r="79">
          <cell r="B79" t="str">
            <v>Trung tâm huấn luyện và thi đấu thể dục thể thao</v>
          </cell>
          <cell r="C79">
            <v>25122.35</v>
          </cell>
        </row>
        <row r="80">
          <cell r="B80" t="str">
            <v>Chi kỷ niệm các ngày lễ lớn của tỉnh</v>
          </cell>
          <cell r="C80">
            <v>15000</v>
          </cell>
        </row>
        <row r="81">
          <cell r="B81" t="str">
            <v>Chi hoạt động xúc tiến, phát triển du lịch của tỉnh</v>
          </cell>
          <cell r="C81">
            <v>4000</v>
          </cell>
        </row>
        <row r="82">
          <cell r="B82" t="str">
            <v>Chi hỗ trợ tổ chức các lễ hội du lịch</v>
          </cell>
          <cell r="C82">
            <v>10000</v>
          </cell>
        </row>
        <row r="83">
          <cell r="B83" t="str">
            <v>Chính sách hỗ trợ phát triển du lịch trên địa bàn tỉnh Yên Bái giai đoạn 2024-2030 theo Nghị quyết số 81/2024/NQ-HĐND ngày 30/9/2024 của HĐND tỉnh Yên Bái</v>
          </cell>
          <cell r="C83">
            <v>6000</v>
          </cell>
        </row>
        <row r="84">
          <cell r="B84" t="str">
            <v>Đề án bảo tồn, phát huy giá trị các di sản văn hóa vật thể, phi vật thể gắn với phát triển du lịch trên địa bàn tỉnh giai đoạn 2023-2025 theo Quyết định số 1648/QĐ-UBND ngày 15/9/2023 của Uỷ ban nhân dân tỉnh Yên Bái</v>
          </cell>
          <cell r="C84">
            <v>2100</v>
          </cell>
        </row>
        <row r="85">
          <cell r="B85" t="str">
            <v>Kinh phí mua sắm, sửa chữa trang thiết bị làm việc của các đơn vị (được thực hiện phân bổ và giao dự toán cho các cơ quan, đơn vị trực thuộc khi đảm bảo các  quy định tại Nghị định số 138/2024/NĐ-CP ngày 24/10/2024 của Chính phủ)</v>
          </cell>
          <cell r="C85">
            <v>483</v>
          </cell>
        </row>
        <row r="86">
          <cell r="B86" t="str">
            <v>Sở Văn hoá thể thao và du lịch</v>
          </cell>
          <cell r="C86">
            <v>17300.099999999999</v>
          </cell>
        </row>
        <row r="87">
          <cell r="B87" t="str">
            <v>- Văn phòng Sở Văn hoá Thể thao và Du lịch</v>
          </cell>
          <cell r="C87">
            <v>9918.1</v>
          </cell>
        </row>
        <row r="88">
          <cell r="B88" t="str">
            <v>- Chi chung sự nghiệp thể dục thể thao</v>
          </cell>
          <cell r="C88">
            <v>600</v>
          </cell>
        </row>
        <row r="89">
          <cell r="B89" t="str">
            <v>- Chi hỗ trợ phát triển các đội bóng của tỉnh</v>
          </cell>
          <cell r="C89">
            <v>400</v>
          </cell>
        </row>
        <row r="90">
          <cell r="B90" t="str">
            <v>- Chi hỗ trợ 5 liên đoàn thể thao</v>
          </cell>
          <cell r="C90">
            <v>400</v>
          </cell>
        </row>
        <row r="91">
          <cell r="B91" t="str">
            <v>- Chi chung sự nghiệp văn hoá</v>
          </cell>
          <cell r="C91">
            <v>550</v>
          </cell>
        </row>
        <row r="92">
          <cell r="B92" t="str">
            <v>- Chi hỗ trợ sự nghiệp phát triển gia đình</v>
          </cell>
          <cell r="C92">
            <v>250</v>
          </cell>
        </row>
        <row r="93">
          <cell r="B93" t="str">
            <v>- Chi công tác quản lý du lịch</v>
          </cell>
          <cell r="C93">
            <v>450</v>
          </cell>
        </row>
        <row r="94">
          <cell r="B94" t="str">
            <v>- Ban chỉ đạo xây dựng đời sống văn hoá</v>
          </cell>
          <cell r="C94">
            <v>200</v>
          </cell>
        </row>
        <row r="95">
          <cell r="B95" t="str">
            <v>- Chi bảo tồn văn hoá phục vụ du lịch</v>
          </cell>
          <cell r="C95">
            <v>532</v>
          </cell>
        </row>
        <row r="96">
          <cell r="B96" t="str">
            <v xml:space="preserve">- Kinh phí tham gia Ngày hội văn hoá thể thao du lịch các dân tộc vùng Tây Bắc </v>
          </cell>
          <cell r="C96">
            <v>1000</v>
          </cell>
        </row>
        <row r="97">
          <cell r="B97" t="str">
            <v>- Đề án xây dựng thương hiệu và phát triển du lịch giai đoạn 2018-2020 và tầm nhìn đến năm 2025  theo Quyết định số 1788/QĐ-UBND ngày 12/9/2022 của Uỷ ban nhân dân tỉnh Yên Bái</v>
          </cell>
          <cell r="C97">
            <v>3000</v>
          </cell>
        </row>
        <row r="98">
          <cell r="B98" t="str">
            <v>Đài phát thanh truyền hình</v>
          </cell>
          <cell r="C98">
            <v>41777.85</v>
          </cell>
        </row>
        <row r="99">
          <cell r="B99" t="str">
            <v>Chi hoạt động thường xuyên</v>
          </cell>
          <cell r="C99">
            <v>40577.85</v>
          </cell>
        </row>
        <row r="100">
          <cell r="B100" t="str">
            <v>Chi sửa chữa, mua sắm trang thiết bị truyền hình (được thực hiện phân bổ và giao dự toán khi đảm bảo các quy định tại Nghị định số 138/2024/NĐ-CP ngày 24/10/2024 của Chính phủ)</v>
          </cell>
          <cell r="C100">
            <v>1200</v>
          </cell>
        </row>
        <row r="101">
          <cell r="B101" t="str">
            <v>Sở Giáo dục và các đơn vị trực thuộc</v>
          </cell>
          <cell r="C101">
            <v>481454.58903386479</v>
          </cell>
        </row>
        <row r="102">
          <cell r="B102" t="str">
            <v>Trường phổ thông dân tộc nội trú THPT Miền Tây</v>
          </cell>
          <cell r="C102">
            <v>21293.0216</v>
          </cell>
        </row>
        <row r="103">
          <cell r="B103" t="str">
            <v xml:space="preserve">Trường phổ thông dân tộc nội trú THPT tỉnh </v>
          </cell>
          <cell r="C103">
            <v>23468.037365278404</v>
          </cell>
        </row>
        <row r="104">
          <cell r="B104" t="str">
            <v>Trường THPT Chuyên Nguyễn Tất Thành</v>
          </cell>
          <cell r="C104">
            <v>32677.040800000002</v>
          </cell>
        </row>
        <row r="105">
          <cell r="B105" t="str">
            <v xml:space="preserve">Trường THPT Lý Thường Kiệt </v>
          </cell>
          <cell r="C105">
            <v>15771.990399999999</v>
          </cell>
        </row>
        <row r="106">
          <cell r="B106" t="str">
            <v xml:space="preserve">Trường THPT Nguyễn Huệ </v>
          </cell>
          <cell r="C106">
            <v>19244.982128646403</v>
          </cell>
        </row>
        <row r="107">
          <cell r="B107" t="str">
            <v xml:space="preserve">Trường TH PT Hoàng Quốc Việt </v>
          </cell>
          <cell r="C107">
            <v>11447.028339940001</v>
          </cell>
        </row>
        <row r="108">
          <cell r="B108" t="str">
            <v xml:space="preserve">Trung tâm giáo dục thường xuyên </v>
          </cell>
          <cell r="C108">
            <v>14323.960400000002</v>
          </cell>
        </row>
        <row r="109">
          <cell r="B109" t="str">
            <v>Trường tiểu học Nguyễn Trãi</v>
          </cell>
          <cell r="C109">
            <v>16748.281199999998</v>
          </cell>
        </row>
        <row r="110">
          <cell r="B110" t="str">
            <v>Trường THCS Quang Trung</v>
          </cell>
          <cell r="C110">
            <v>14922.966800000002</v>
          </cell>
        </row>
        <row r="111">
          <cell r="B111" t="str">
            <v>Chi các nhiệm vụ, chính sách giáo dục đào tạo dạy nghề khác theo quy định và 10% tiết kiệm</v>
          </cell>
          <cell r="C111">
            <v>23919.1</v>
          </cell>
        </row>
        <row r="112">
          <cell r="B112" t="str">
            <v>Kinh phí tuyển mới giáo viên</v>
          </cell>
          <cell r="C112">
            <v>51589.4</v>
          </cell>
        </row>
        <row r="113">
          <cell r="B113" t="str">
            <v>Đề án phát triển giáo dục mầm non tỉnh Yên Bái</v>
          </cell>
          <cell r="C113">
            <v>400</v>
          </cell>
        </row>
        <row r="114">
          <cell r="B114" t="str">
            <v xml:space="preserve">Đề án triển khai thực hiện chương trình giáo dục phổ thông 2018 và xây dựng trường đạt chuẩn quốc gia tỉnh Yên Bái </v>
          </cell>
          <cell r="C114">
            <v>30000</v>
          </cell>
        </row>
        <row r="115">
          <cell r="B115" t="str">
            <v>Đề án Phát triển Trường trung học phổ thông chuyên Nguyễn Tất Thành tỉnh Yên Bái</v>
          </cell>
          <cell r="C115">
            <v>500</v>
          </cell>
        </row>
        <row r="116">
          <cell r="B116" t="str">
            <v>Chế độ học sinh</v>
          </cell>
          <cell r="C116">
            <v>54276.6</v>
          </cell>
        </row>
        <row r="117">
          <cell r="B117" t="str">
            <v>Kinh phí thực hiện các chương trình, dự án của ngành giáo dục (chỉ được phân bổ, giao dự toán sau khi được cấp có thẩm quyền phê duyệt)</v>
          </cell>
          <cell r="C117">
            <v>100000</v>
          </cell>
        </row>
        <row r="118">
          <cell r="B118" t="str">
            <v>Kinh phí mua sắm thiết bị phục vụ giảng dạy và học tập thực hiện các đề án 6.800 triệu đồng; kinh phí sửa chữa thiết bị dạy học của các đơn vị (được thực hiện phân bổ và giao dự toán cho các cơ quan, đơn vị trực thuộc khi đảm bảo các  quy định tại Nghị định số 138/2024/NĐ-CP ngày 24/10/2024 của Chính phủ)</v>
          </cell>
          <cell r="C118">
            <v>8205</v>
          </cell>
        </row>
        <row r="119">
          <cell r="B119" t="str">
            <v xml:space="preserve">Sở Giáo dục và Đào tạo </v>
          </cell>
          <cell r="C119">
            <v>42667.18</v>
          </cell>
        </row>
        <row r="120">
          <cell r="B120" t="str">
            <v xml:space="preserve">- Văn phòng Sở Giáo dục và Đào tạo </v>
          </cell>
          <cell r="C120">
            <v>13952.18</v>
          </cell>
        </row>
        <row r="121">
          <cell r="B121" t="str">
            <v>- Chi chung sự nghiệp ngành</v>
          </cell>
          <cell r="C121">
            <v>13000</v>
          </cell>
        </row>
        <row r="122">
          <cell r="B122" t="str">
            <v xml:space="preserve">- Chi công tác phổ cập giáo dục, xoá mù chữ, xây dựng xã hội học tập </v>
          </cell>
          <cell r="C122">
            <v>300</v>
          </cell>
        </row>
        <row r="123">
          <cell r="B123" t="str">
            <v>- Tập huấn sử dụng thiết bị phòng học thông minh, phòng học tiên tiến,  phòng học tương tác, phòng học ngoại ngữ</v>
          </cell>
          <cell r="C123">
            <v>1000</v>
          </cell>
        </row>
        <row r="124">
          <cell r="B124" t="str">
            <v>- Kinh phí khen thưởng giáo viên, học sinh xuất sắc</v>
          </cell>
          <cell r="C124">
            <v>3500</v>
          </cell>
        </row>
        <row r="125">
          <cell r="B125" t="str">
            <v>- Kinh phí tổ chức Đại hội thể dục thể thao ngành giáo dục và đào tạo tỉnh Yên Bái lần thứ IX năm 2025</v>
          </cell>
          <cell r="C125">
            <v>800</v>
          </cell>
        </row>
        <row r="126">
          <cell r="B126" t="str">
            <v>- Kinh phí hỗ trợ giáo viên có chứng chỉ tiếng anh quốc tế theo Nghị quyết số 38/2023/NQ-HĐND ngày 08/7/2023 của HĐND tỉnh Yên Bái</v>
          </cell>
          <cell r="C126">
            <v>200</v>
          </cell>
        </row>
        <row r="127">
          <cell r="B127" t="str">
            <v>- Kinh phí kiểm tra công nhận các trường đạt chuẩn quốc gia (Kiểm tra, đánh giá ngoài)</v>
          </cell>
          <cell r="C127">
            <v>1200</v>
          </cell>
        </row>
        <row r="128">
          <cell r="B128" t="str">
            <v>- In ấn, phát hành tài liệu giáo dục địa phương</v>
          </cell>
          <cell r="C128">
            <v>3000</v>
          </cell>
        </row>
        <row r="129">
          <cell r="B129" t="str">
            <v>- Kinh phí đào tạo nâng chuẩn giáo viên theo Luật Giáo dục số 43/2019/QH14</v>
          </cell>
          <cell r="C129">
            <v>2415</v>
          </cell>
        </row>
        <row r="130">
          <cell r="B130" t="str">
            <v>- Tổ chức kỳ thi tốt nghiệp THPT, các kỳ thi đầu cấp, thi chọn học sinh giỏi cấp tỉnh, cấp quốc gia và các cuộc thi khác</v>
          </cell>
          <cell r="C130">
            <v>3300</v>
          </cell>
        </row>
        <row r="131">
          <cell r="B131" t="str">
            <v xml:space="preserve">Trường Cao đẳng Yên Bái </v>
          </cell>
          <cell r="C131">
            <v>58819.012320000002</v>
          </cell>
        </row>
        <row r="132">
          <cell r="B132" t="str">
            <v xml:space="preserve">Trường Cao đẳng nghề </v>
          </cell>
          <cell r="C132">
            <v>48099.28688</v>
          </cell>
        </row>
        <row r="133">
          <cell r="B133" t="str">
            <v>- Chi hoạt động thường xuyên</v>
          </cell>
          <cell r="C133">
            <v>48099.28688</v>
          </cell>
        </row>
        <row r="134">
          <cell r="B134" t="str">
            <v>Sở Y tế và các đơn vị trực thuộc</v>
          </cell>
          <cell r="C134">
            <v>732339.71124600002</v>
          </cell>
        </row>
        <row r="135">
          <cell r="B135" t="str">
            <v>Trung tâm kiểm soát bệnh tật</v>
          </cell>
          <cell r="C135">
            <v>32813.300000000003</v>
          </cell>
        </row>
        <row r="136">
          <cell r="B136" t="str">
            <v>Trung tâm kiểm nghiệm thuốc, mỹ phẩm, thực phẩm</v>
          </cell>
          <cell r="C136">
            <v>6467.9000000000005</v>
          </cell>
        </row>
        <row r="137">
          <cell r="B137" t="str">
            <v>Trung tâm Pháp y</v>
          </cell>
          <cell r="C137">
            <v>3039.4</v>
          </cell>
        </row>
        <row r="138">
          <cell r="B138" t="str">
            <v xml:space="preserve">Bệnh viện đa khoa Tỉnh </v>
          </cell>
          <cell r="C138">
            <v>950</v>
          </cell>
        </row>
        <row r="139">
          <cell r="B139" t="str">
            <v>Bệnh viện sản nhi</v>
          </cell>
          <cell r="C139">
            <v>9263.4700000000012</v>
          </cell>
        </row>
        <row r="140">
          <cell r="B140" t="str">
            <v xml:space="preserve">Bệnh viện tâm thần </v>
          </cell>
          <cell r="C140">
            <v>8593.34</v>
          </cell>
        </row>
        <row r="141">
          <cell r="B141" t="str">
            <v xml:space="preserve">Bệnh viện Nội tiết </v>
          </cell>
          <cell r="C141">
            <v>1029.5999999999999</v>
          </cell>
        </row>
        <row r="142">
          <cell r="B142" t="str">
            <v>Bệnh viện phổi</v>
          </cell>
          <cell r="C142">
            <v>9034.4100000000017</v>
          </cell>
        </row>
        <row r="143">
          <cell r="B143" t="str">
            <v xml:space="preserve">Chi cục dân số </v>
          </cell>
          <cell r="C143">
            <v>2483.4863</v>
          </cell>
        </row>
        <row r="144">
          <cell r="B144" t="str">
            <v>Chi hoạt động thường xuyên</v>
          </cell>
          <cell r="C144">
            <v>2483.4863</v>
          </cell>
        </row>
        <row r="145">
          <cell r="B145" t="str">
            <v>Chi cục an toàn vệ sinh thực phẩm</v>
          </cell>
          <cell r="C145">
            <v>3058.8669399999994</v>
          </cell>
        </row>
        <row r="146">
          <cell r="B146" t="str">
            <v>Kinh phí thực hiện các hoạt động đào tạo chuyển giao kỹ thuật với các bệnh viện trung ương</v>
          </cell>
          <cell r="C146">
            <v>1500</v>
          </cell>
        </row>
        <row r="147">
          <cell r="B147" t="str">
            <v>Kinh phí thực hiện các chương trình, dự án của ngành y tế (chỉ được phân bổ, giao dự toán sau khi được cấp có thẩm quyền phê duyệt)</v>
          </cell>
          <cell r="C147">
            <v>50000</v>
          </cell>
        </row>
        <row r="148">
          <cell r="B148" t="str">
            <v>Kinh phí mua sắm, sửa chữa trang thiết bị làm việc; mua sắm trang thiết bị y tế; chi cải tạo phòng khám... của các đơn vị (được thực hiện phân bổ và giao dự toán cho các cơ quan, đơn vị trực thuộc khi đảm bảo các  quy định tại Nghị định số 138/2024/NĐ-CP ngày 24/10/2024 của Chính phủ)</v>
          </cell>
          <cell r="C148">
            <v>20078</v>
          </cell>
        </row>
        <row r="149">
          <cell r="B149" t="str">
            <v>Đóng BHYT cho người thuộc hộ gia đình nghèo; người dân tộc thiểu số đang sinh sống tại vùng có điều kiện KTXH khó khăn; người đang sinh sống tại vùng có điều kiện KTXH đặc biệt khó khăn…</v>
          </cell>
          <cell r="C149">
            <v>389489</v>
          </cell>
        </row>
        <row r="150">
          <cell r="B150" t="str">
            <v>Đóng BHYT cho người thuộc hộ gia đình cận nghèo</v>
          </cell>
          <cell r="C150">
            <v>14593</v>
          </cell>
        </row>
        <row r="151">
          <cell r="B151" t="str">
            <v>Hỗ trợ mức đóng BHYT đối với người dân có hộ khẩu thường trú tại các xã đặc biệt khó khăn trên địa bàn tỉnh Yên Bái khi xã được công nhận đạt chuẩn nông thôn mới giai đoạn 2023-2025 theo Nghị quyết số 37/2023/NQ-HĐND ngày 8/7/2023 của HĐND tỉnh Yên Bái</v>
          </cell>
          <cell r="C151">
            <v>7733</v>
          </cell>
        </row>
        <row r="152">
          <cell r="B152" t="str">
            <v xml:space="preserve">Đóng BHYT cho trẻ em dưới 6 tuổi </v>
          </cell>
          <cell r="C152">
            <v>112893</v>
          </cell>
        </row>
        <row r="153">
          <cell r="B153" t="str">
            <v>Hỗ trợ đóng BHYT cho học sinh, sinh viên</v>
          </cell>
          <cell r="C153">
            <v>29513</v>
          </cell>
        </row>
        <row r="154">
          <cell r="B154" t="str">
            <v>Người hiến tạng cơ thể; người từ đủ 80 tuổi trở lên đang hưởng trợ cấp tuất hàng tháng</v>
          </cell>
          <cell r="C154">
            <v>893</v>
          </cell>
        </row>
        <row r="155">
          <cell r="B155" t="str">
            <v>Đối tượng cựu chiến binh</v>
          </cell>
          <cell r="C155">
            <v>6678</v>
          </cell>
        </row>
        <row r="156">
          <cell r="B156" t="str">
            <v>Hộ nông lâm ngư nghiệp có mức sống trung bình</v>
          </cell>
          <cell r="C156">
            <v>626</v>
          </cell>
        </row>
        <row r="157">
          <cell r="B157" t="str">
            <v>Kinh phí thực hiện chương trình y tế dân số theo Công văn số 7852/BTC-HCSN ngày 8/8/2022 của Bộ Tài chính hướng dẫn định mức chi các nhiệm vụ thuộc CTMT dân số chuyển thành nhiệm vụ chi thường xuyên</v>
          </cell>
          <cell r="C157">
            <v>5000</v>
          </cell>
        </row>
        <row r="158">
          <cell r="B158" t="str">
            <v>Đề án công tác dân số kế hoạch hoá gia đình tai các xã ĐBKK giai đoạn 2021-2025</v>
          </cell>
          <cell r="C158">
            <v>3749</v>
          </cell>
        </row>
        <row r="159">
          <cell r="B159" t="str">
            <v>Sở Y tế</v>
          </cell>
          <cell r="C159">
            <v>12860.938006</v>
          </cell>
        </row>
        <row r="160">
          <cell r="B160" t="str">
            <v>- Văn phòng Sở Y tế</v>
          </cell>
          <cell r="C160">
            <v>9590.9380060000003</v>
          </cell>
        </row>
        <row r="161">
          <cell r="B161" t="str">
            <v>- Chi chung sự nghiệp y tế</v>
          </cell>
          <cell r="C161">
            <v>2270</v>
          </cell>
        </row>
        <row r="162">
          <cell r="B162" t="str">
            <v xml:space="preserve">- Chi phòng chống dịch sốt xuất huyết </v>
          </cell>
          <cell r="C162">
            <v>100</v>
          </cell>
        </row>
        <row r="163">
          <cell r="B163" t="str">
            <v>- Đề án chuẩn quốc gia về y tế xã của tỉnh</v>
          </cell>
          <cell r="C163">
            <v>300</v>
          </cell>
        </row>
        <row r="164">
          <cell r="B164" t="str">
            <v xml:space="preserve">- Kinh phí phục vụ công tác đấu thầu mua sắm tập trung thuốc theo quy định của Luật đấu thầu </v>
          </cell>
          <cell r="C164">
            <v>500</v>
          </cell>
        </row>
        <row r="165">
          <cell r="B165" t="str">
            <v>- Chi phí hoạt động các Ban Chỉ đạo ngành y tế</v>
          </cell>
          <cell r="C165">
            <v>100</v>
          </cell>
        </row>
        <row r="166">
          <cell r="B166" t="str">
            <v>Sở Lao động TBXH và các đơn vị trực thuộc</v>
          </cell>
          <cell r="C166">
            <v>169413.68968000001</v>
          </cell>
        </row>
        <row r="167">
          <cell r="B167" t="str">
            <v xml:space="preserve">Trung tâm công tác xã hội và bảo trợ xã hội  </v>
          </cell>
          <cell r="C167">
            <v>15130.42</v>
          </cell>
        </row>
        <row r="168">
          <cell r="B168" t="str">
            <v>Cơ sở cai nghiện ma túy tỉnh Yên Bái</v>
          </cell>
          <cell r="C168">
            <v>36873.425000000003</v>
          </cell>
        </row>
        <row r="169">
          <cell r="B169" t="str">
            <v xml:space="preserve">Trường Trung cấp dân tộc nội trú Nghĩa Lộ </v>
          </cell>
          <cell r="C169">
            <v>19410.098959999999</v>
          </cell>
        </row>
        <row r="170">
          <cell r="B170" t="str">
            <v>Trường Trung cấp Lục Yên</v>
          </cell>
          <cell r="C170">
            <v>15673.89572</v>
          </cell>
        </row>
        <row r="171">
          <cell r="B171" t="str">
            <v xml:space="preserve">Trung tâm Dịch vụ việc làm </v>
          </cell>
          <cell r="C171">
            <v>9963</v>
          </cell>
        </row>
        <row r="172">
          <cell r="B172" t="str">
            <v>Trung tâm điều dưỡng tỉnh</v>
          </cell>
          <cell r="C172">
            <v>3233.3</v>
          </cell>
        </row>
        <row r="173">
          <cell r="B173" t="str">
            <v xml:space="preserve">Chính sách thu hút nguồn nhân lực, chính sách đào tạo, bồi dưỡng nguồn nhân lực chất lượng cao theo Nghị quyết số 12/2021/NQ-HĐND ngày 19/4/2021 của Hội đồng nhân dân tỉnh Yên Bái </v>
          </cell>
          <cell r="C173">
            <v>11489</v>
          </cell>
        </row>
        <row r="174">
          <cell r="B174" t="str">
            <v>Bảo hiểm xã hội tự nguyện cho các đối tượng theo Nghị định số 134/2015/NĐ-CP ngày 29/12/2015 của Chính phủ</v>
          </cell>
          <cell r="C174">
            <v>9650</v>
          </cell>
        </row>
        <row r="175">
          <cell r="B175" t="str">
            <v>Kinh phí sửa chữa trang thiết bị phục vụ người có công được thực hiện phân bổ và giao dự toán cho đơn vị trực thuộc khi đảm bảo các quy định tại Nghị định số 138/2024/NĐ-CP ngày 24/10/2024 của Chính phủ</v>
          </cell>
          <cell r="C175">
            <v>250</v>
          </cell>
        </row>
        <row r="176">
          <cell r="B176" t="str">
            <v>Chính sách hỗ trợ đào tạo nguồn nhân lực khu vực nông thôn, vùng đồng bào dân tộc thiểu số theo Nghị quyết số 12/2021/NQ-HĐND ngày 19/4/2021 của HĐND tỉnh Yên Bái</v>
          </cell>
          <cell r="C176">
            <v>19590</v>
          </cell>
        </row>
        <row r="177">
          <cell r="B177" t="str">
            <v>Sở Lao động thương binh &amp; Xã Hội</v>
          </cell>
          <cell r="C177">
            <v>27450.55</v>
          </cell>
        </row>
        <row r="178">
          <cell r="B178" t="str">
            <v>- Văn phòng Sở lao động Thương binh và Xã hội</v>
          </cell>
          <cell r="C178">
            <v>14994.55</v>
          </cell>
        </row>
        <row r="179">
          <cell r="B179" t="str">
            <v>- Ban chỉ đạo tuần lễ vệ sinh an toàn lao động</v>
          </cell>
          <cell r="C179">
            <v>100</v>
          </cell>
        </row>
        <row r="180">
          <cell r="B180" t="str">
            <v>- Chi các hoạt động phục vụ người có công</v>
          </cell>
          <cell r="C180">
            <v>4000</v>
          </cell>
        </row>
        <row r="181">
          <cell r="B181" t="str">
            <v>- Chi các hoạt động bảo trợ xã hội</v>
          </cell>
          <cell r="C181">
            <v>400</v>
          </cell>
        </row>
        <row r="182">
          <cell r="B182" t="str">
            <v>- Chi hoạt động ban chỉ đạo chương trình mục tiêu quốc gia giảm nghèo bền vững</v>
          </cell>
          <cell r="C182">
            <v>200</v>
          </cell>
        </row>
        <row r="183">
          <cell r="B183" t="str">
            <v>- Chi phục vụ công tác tiền lương, lao động, việc làm</v>
          </cell>
          <cell r="C183">
            <v>800</v>
          </cell>
        </row>
        <row r="184">
          <cell r="B184" t="str">
            <v>- Chi kiểm tra, thanh tra về BHXH, BHYT, BHTN</v>
          </cell>
          <cell r="C184">
            <v>50</v>
          </cell>
        </row>
        <row r="185">
          <cell r="B185" t="str">
            <v xml:space="preserve">- Chương trình quốc gia bình đẳng giới </v>
          </cell>
          <cell r="C185">
            <v>150</v>
          </cell>
        </row>
        <row r="186">
          <cell r="B186" t="str">
            <v>- Đề án phát triển nghề công tác xã hội theo Quyết định 32/2010/QĐ-TTg của Thủ tướng Chính phủ</v>
          </cell>
          <cell r="C186">
            <v>250</v>
          </cell>
        </row>
        <row r="187">
          <cell r="B187" t="str">
            <v>- Chi chúc thọ, mừng thọ người cao tuổi ở tuổi 90, 100; kinh phí in thiếp và làm khung đựng thiếp cho người cao tuổi chúc thọ, mừng thọ</v>
          </cell>
          <cell r="C187">
            <v>906</v>
          </cell>
        </row>
        <row r="188">
          <cell r="B188" t="str">
            <v xml:space="preserve">- Chương trình quốc gia về bảo vệ trẻ em </v>
          </cell>
          <cell r="C188">
            <v>650</v>
          </cell>
        </row>
        <row r="189">
          <cell r="B189" t="str">
            <v>- Hỗ trợ phẫu thuật tim cho trẻ em bị tim bẩm sinh theo Quyết định số 55a/2013/QĐ-TTg của Thủ tướng Chính phủ</v>
          </cell>
          <cell r="C189">
            <v>200</v>
          </cell>
        </row>
        <row r="190">
          <cell r="B190" t="str">
            <v>- Chi công tác thăm hỏi, các nhiệm vụ chính sách trong dịp tết nguyên đán theo nhiệm vụ được tỉnh giao</v>
          </cell>
          <cell r="C190">
            <v>4000</v>
          </cell>
        </row>
        <row r="191">
          <cell r="B191" t="str">
            <v>- Kinh phí rà soát, thống kê hộ nghèo, cận nghèo</v>
          </cell>
          <cell r="C191">
            <v>300</v>
          </cell>
        </row>
        <row r="192">
          <cell r="B192" t="str">
            <v>- Tổ chức hội thi thiết bị dạy nghề tự làm cấp tỉnh</v>
          </cell>
          <cell r="C192">
            <v>200</v>
          </cell>
        </row>
        <row r="193">
          <cell r="B193" t="str">
            <v>-  Tham gia hội thi tay nghề tự làm cấp quốc gia</v>
          </cell>
          <cell r="C193">
            <v>100</v>
          </cell>
        </row>
        <row r="194">
          <cell r="B194" t="str">
            <v>- Chương trình trợ giúp người khuyết tật theo Quyết định số 1190/QĐ-TTg ngày 19/8/2020 của Thủ tướng Chính phủ</v>
          </cell>
          <cell r="C194">
            <v>150</v>
          </cell>
        </row>
        <row r="195">
          <cell r="B195" t="str">
            <v xml:space="preserve"> Chế độ, chính sách đối với cựu chiến binh </v>
          </cell>
          <cell r="C195">
            <v>700</v>
          </cell>
        </row>
        <row r="196">
          <cell r="B196" t="str">
            <v>Sở Nội vụ và các đơn vị trực thuộc</v>
          </cell>
          <cell r="C196">
            <v>43328.130000000005</v>
          </cell>
        </row>
        <row r="197">
          <cell r="B197" t="str">
            <v xml:space="preserve">Sở Nội vụ </v>
          </cell>
          <cell r="C197">
            <v>23656.13</v>
          </cell>
        </row>
        <row r="198">
          <cell r="B198" t="str">
            <v>- Văn phòng Sở Nội vụ (trong đó kinh phí mua sắm trang thiết bị làm việc được thực hiện khi đảm bảo các quy định tại Nghị định số 138/2024/NĐ-CP ngày 24/10/2024 của Chính phủ 280 triệu đồng)</v>
          </cell>
          <cell r="C198">
            <v>20656.13</v>
          </cell>
        </row>
        <row r="199">
          <cell r="B199" t="str">
            <v>- Chi đào tạo, bồi dưỡng cán bộ công chức</v>
          </cell>
          <cell r="C199">
            <v>3000</v>
          </cell>
        </row>
        <row r="200">
          <cell r="B200" t="str">
            <v>Trung tâm lưu trữ lịch sử  (trong đó kinh phí tạo lập cơ sở dữ liệu chuẩn hoá chuyển đổi và số hoá dữ liệu tài liệu lưu trữ 1.080 triệu đồng)</v>
          </cell>
          <cell r="C200">
            <v>4672</v>
          </cell>
        </row>
        <row r="201">
          <cell r="B201" t="str">
            <v>Kinh phí công tác thi đua, khen thưởng của tỉnh</v>
          </cell>
          <cell r="C201">
            <v>15000</v>
          </cell>
        </row>
        <row r="202">
          <cell r="B202" t="str">
            <v>Sở Thông tin &amp; TT và các đơn vị trực thuộc</v>
          </cell>
          <cell r="C202">
            <v>44719.09</v>
          </cell>
        </row>
        <row r="203">
          <cell r="B203" t="str">
            <v>Trung tâm chuyển đổi số (trong đó kinh phí thực hiện chính sách hỗ trợ công chức, viên chức theo Nghị quyết 60/2022/NQ-HĐND ngày 9/12/2022 của HĐND tỉnh 360 triệu đồng và Chi phí hoạt động toà nhà điều hành thông minh là 1.185 triệu đồng)</v>
          </cell>
          <cell r="C203">
            <v>6212</v>
          </cell>
        </row>
        <row r="204">
          <cell r="B204" t="str">
            <v xml:space="preserve">Chi hoạt động công nghệ thông tin (được thực hiện phân bổ và giao dự toán cho đơn vị trực thuộc theo quy định tại Nghị định số 82/2024/NĐ-CP ngày 10/7/2024 của Chính phủ) </v>
          </cell>
          <cell r="C204">
            <v>9552</v>
          </cell>
        </row>
        <row r="205">
          <cell r="B205" t="str">
            <v>Văn phòng Sở Thông tin và truyền thông (trong đó kinh phí đào tạo theo Nghị quyết 51/2021/NQ-HĐND ngày 22/7/2021 của HĐND tỉnh Yên Bái 772 triệu đồng; kinh phí mua sắm gồm: mua sắm để bổ sung thay mới hoặc sửa chữa, nâng cấp máy móc trang thiết bị phục vụ công tác quản lý được thực hiện khi đảm bảo các  quy định tại Nghị định số 138/2024/NĐ-CP ngày 24/10/2024 của Chính phủ 250 triệu đồng)</v>
          </cell>
          <cell r="C205">
            <v>10758.09</v>
          </cell>
        </row>
        <row r="206">
          <cell r="B206" t="str">
            <v>Chi sửa chữa nâng cấp đài truyền thanh cơ sở</v>
          </cell>
          <cell r="C206">
            <v>2000</v>
          </cell>
        </row>
        <row r="207">
          <cell r="B207" t="str">
            <v>Thuê dịch vụ công nghệ thông tin "Triển khai mở rộng hội nghị giao ban điện tử đa phương tiện tỉnh Yên Bái giai đoạn 2021-2025" theo Quyết định 3243/QĐ-UBND ngày 18/12/2020 của UBND tỉnh Yên Bái và Quyết định 2370/QĐ-UBND ngày 29/11/2022 của UBND tỉnh Yên Bái</v>
          </cell>
          <cell r="C207">
            <v>14197</v>
          </cell>
        </row>
        <row r="208">
          <cell r="B208" t="str">
            <v>Chi sự nghiệp công nghệ thông tin của tỉnh</v>
          </cell>
          <cell r="C208">
            <v>2000</v>
          </cell>
        </row>
        <row r="209">
          <cell r="B209" t="str">
            <v>Sở Giao thông Vận tải và các đơn vị trực thuộc</v>
          </cell>
          <cell r="C209">
            <v>129697.42816</v>
          </cell>
        </row>
        <row r="210">
          <cell r="B210" t="str">
            <v>Thanh tra giao thông</v>
          </cell>
          <cell r="C210">
            <v>6711.3099999999995</v>
          </cell>
        </row>
        <row r="211">
          <cell r="B211" t="str">
            <v>Văn phòng Sở giao thông Vận tải</v>
          </cell>
          <cell r="C211">
            <v>11216.58</v>
          </cell>
        </row>
        <row r="212">
          <cell r="B212" t="str">
            <v>Kinh phí mua sắm thiết bị dụng cụ chuyên ngành của đơn vị được thực hiện phân bổ và giao dự toán cho đơn vị trực thuộc khi đảm bảo các  quy định tại Nghị định số 138/2024/NĐ-CP ngày 24/10/2024 của Chính phủ)</v>
          </cell>
          <cell r="C212">
            <v>90</v>
          </cell>
        </row>
        <row r="213">
          <cell r="B213" t="str">
            <v xml:space="preserve">Duy tu, sửa chữa giao thông đường bộ </v>
          </cell>
          <cell r="C213">
            <v>50000</v>
          </cell>
        </row>
        <row r="214">
          <cell r="B214" t="str">
            <v>Quản lý, bảo trì đường bộ địa phương quản lý (TW bổ sung có mục tiêu)</v>
          </cell>
          <cell r="C214">
            <v>57766</v>
          </cell>
        </row>
        <row r="215">
          <cell r="B215" t="str">
            <v>Ban an toàn giao thông tỉnh</v>
          </cell>
          <cell r="C215">
            <v>3913.5381600000001</v>
          </cell>
        </row>
        <row r="216">
          <cell r="B216" t="str">
            <v>Sở Kế hoạch và Đầu tư và các đơn vị trực thuộc</v>
          </cell>
          <cell r="C216">
            <v>24758.829999999998</v>
          </cell>
        </row>
        <row r="217">
          <cell r="B217" t="str">
            <v>Văn phòng Sở Kế hoạch và Đầu tư</v>
          </cell>
          <cell r="C217">
            <v>18306.079999999998</v>
          </cell>
        </row>
        <row r="218">
          <cell r="B218" t="str">
            <v>Trung tâm hỗ trợ doanh nghiệp tư vấn &amp; xúc tiến đầu tư</v>
          </cell>
          <cell r="C218">
            <v>1452.75</v>
          </cell>
        </row>
        <row r="219">
          <cell r="B219" t="str">
            <v>Chi hoạt động xúc tiến đầu tư của tỉnh</v>
          </cell>
          <cell r="C219">
            <v>5000</v>
          </cell>
        </row>
        <row r="220">
          <cell r="B220" t="str">
            <v>Tỉnh đoàn thanh niên và các đơn vị trực thuộc</v>
          </cell>
          <cell r="C220">
            <v>10395.22234</v>
          </cell>
        </row>
        <row r="221">
          <cell r="B221" t="str">
            <v>Trung tâm hoạt động thanh thiếu nhi</v>
          </cell>
          <cell r="C221">
            <v>2982.25</v>
          </cell>
        </row>
        <row r="222">
          <cell r="B222" t="str">
            <v>Đề án hỗ trợ phát triển phong trào thanh niên tỉnh Yên Bái khởi nghiệp giai đoạn 2021-2025</v>
          </cell>
          <cell r="C222">
            <v>770</v>
          </cell>
        </row>
        <row r="223">
          <cell r="B223" t="str">
            <v xml:space="preserve">Văn phòng Tỉnh đoàn thanh niên </v>
          </cell>
          <cell r="C223">
            <v>6642.9723400000003</v>
          </cell>
        </row>
        <row r="224">
          <cell r="B224" t="str">
            <v>Liên minh HTX và các đơn vị trực thuộc</v>
          </cell>
          <cell r="C224">
            <v>5562.0673640000005</v>
          </cell>
        </row>
        <row r="225">
          <cell r="B225" t="str">
            <v>Văn phòng Liên minh các HTX (trong đó tư vấn hỗ trợ thành lập mới, củng cố tổ chức kinh tế tập thể theo quy định tại khoản 1 mục III Quyết định số 1804/QĐ-TTg của Thủ tướng Chính phủ và Kế hoạch số 205/KH-UBND ngày 30/8/2021 của UBND tỉnh Yên Bái 500 triệu đồng)</v>
          </cell>
          <cell r="C225">
            <v>4430.4173640000008</v>
          </cell>
        </row>
        <row r="226">
          <cell r="B226" t="str">
            <v xml:space="preserve">Trung tâm tư vấn hỗ trợ thành viên </v>
          </cell>
          <cell r="C226">
            <v>1131.6500000000001</v>
          </cell>
        </row>
        <row r="227">
          <cell r="B227" t="str">
            <v>Bộ chỉ huy quân sự tỉnh và các đơn vị trực thuộc</v>
          </cell>
          <cell r="C227">
            <v>195193</v>
          </cell>
        </row>
        <row r="228">
          <cell r="B228" t="str">
            <v>- Chi cho công tác quốc phòng thường xuyên hàng năm</v>
          </cell>
          <cell r="C228">
            <v>6889</v>
          </cell>
        </row>
        <row r="229">
          <cell r="B229" t="str">
            <v>- Đào tạo cán bộ quân sự xã, phường, thị trấn</v>
          </cell>
          <cell r="C229">
            <v>5997</v>
          </cell>
        </row>
        <row r="230">
          <cell r="B230" t="str">
            <v>- Tổ chức hội nghị, tập huấn nghiệp vụ, báo cáo công tác quốc phòng</v>
          </cell>
          <cell r="C230">
            <v>500</v>
          </cell>
        </row>
        <row r="231">
          <cell r="B231" t="str">
            <v>- Kinh phí xây dựng và hoạt động của Ban chỉ đạo khu vực phòng thủ tỉnh, khu vực phòng thủ huyện, diễn tập phòng chống cháy rừng, cứu hộ cứu nạn</v>
          </cell>
          <cell r="C231">
            <v>2300</v>
          </cell>
        </row>
        <row r="232">
          <cell r="B232" t="str">
            <v>- Kinh phí thực hiện Luật dự bị động viên (Chế độ dự bị động viên; kinh phí tuyển chọn dự bị động viên; Huấn luyện, diễn tập, kiểm tra sẵn sàng động viên, huấn luyện tạo nguồn sỹ quan Dự bị; Diễn tập động viên quân nhân dự bị; Bảo đảm trang bị, phương tiện cho chỉ huy động viên, …theo điều 34 Luật Lực lượng Dự bị động viên năm 2019; Bảo đảm trang bị, phương tiện cho chỉ huy động viên, …theo điều 34 Luật Lực lượng Dự bị động viên năm 2019)</v>
          </cell>
          <cell r="C232">
            <v>59027</v>
          </cell>
        </row>
        <row r="233">
          <cell r="B233" t="str">
            <v xml:space="preserve">- Chi thực hiện Luật Dân quân tự vệ </v>
          </cell>
          <cell r="C233">
            <v>33703</v>
          </cell>
        </row>
        <row r="234">
          <cell r="B234" t="str">
            <v>- Mua Trang phục dân quân tự vệ đảm bảo cho lực lương nòng cốt;  lực lượng còn lại hỗ trợ thiết yếu</v>
          </cell>
          <cell r="C234">
            <v>26283</v>
          </cell>
        </row>
        <row r="235">
          <cell r="B235" t="str">
            <v>- Hoạt động phòng không nhân dân theo khoản 1 Điều 22 Nghị định 74/2015/NĐ-CP ngày 09/9/2015 của Chính phủ về phòng không nhân dân</v>
          </cell>
          <cell r="C235">
            <v>512</v>
          </cell>
        </row>
        <row r="236">
          <cell r="B236" t="str">
            <v>- Thực hiện Đề án " Tổ chức xây dựng lực lượng  và hỗ trợ hoạt động quân báo - trinh sát giai đoạn 2021-2025"</v>
          </cell>
          <cell r="C236">
            <v>3341</v>
          </cell>
        </row>
        <row r="237">
          <cell r="B237" t="str">
            <v>- Thực hiện nhiệm vụ hậu cần tại chỗ, thực hiện chính sách hậu phương quân đội và chính sách đối với lực lượng vũ trang nhân dân ở địa phương</v>
          </cell>
          <cell r="C237">
            <v>240</v>
          </cell>
        </row>
        <row r="238">
          <cell r="B238" t="str">
            <v>- Thực hiện nghĩa vụ quân sự và công tác tuyển quân</v>
          </cell>
          <cell r="C238">
            <v>760</v>
          </cell>
        </row>
        <row r="239">
          <cell r="B239" t="str">
            <v xml:space="preserve">- Chi cho công tác giáo dục quốc phòng </v>
          </cell>
          <cell r="C239">
            <v>2162</v>
          </cell>
        </row>
        <row r="240">
          <cell r="B240" t="str">
            <v xml:space="preserve">- Hội thi, hội thao quốc phòng - quân sự Lực lượng vũ trang </v>
          </cell>
          <cell r="C240">
            <v>300</v>
          </cell>
        </row>
        <row r="241">
          <cell r="B241" t="str">
            <v>- Thực hiện các nhiệm vụ quốc phòng địa phương</v>
          </cell>
          <cell r="C241">
            <v>5580</v>
          </cell>
        </row>
        <row r="242">
          <cell r="B242" t="str">
            <v>- Hoạt động của cấp ủy đảng ủy quân sự tỉnh</v>
          </cell>
          <cell r="C242">
            <v>300</v>
          </cell>
        </row>
        <row r="243">
          <cell r="B243" t="str">
            <v xml:space="preserve">- Ngân sách địa phương hỗ trợ thực hiện một số nhiệm vụ chi thuộc lĩnh vực quốc phòng </v>
          </cell>
          <cell r="C243">
            <v>21925</v>
          </cell>
        </row>
        <row r="244">
          <cell r="B244" t="str">
            <v>- Hỗ trợ kinh phí đối với Đại đội DQ pháo phòng không 37mm -1 thành phố Yên Bái theo Quyết định 2671/QĐ-TM ngày 02/10/2023 của Bộ Tổng tham mưu</v>
          </cell>
          <cell r="C244">
            <v>2783</v>
          </cell>
        </row>
        <row r="245">
          <cell r="B245" t="str">
            <v xml:space="preserve">- Kinh phí hỗ trợ tổ chức nhiệm vụ huấn luyện </v>
          </cell>
          <cell r="C245">
            <v>4591</v>
          </cell>
        </row>
        <row r="246">
          <cell r="B246" t="str">
            <v>- Vốn dự bị động viên (NSTW hỗ trợ)</v>
          </cell>
          <cell r="C246">
            <v>16000</v>
          </cell>
        </row>
        <row r="247">
          <cell r="B247" t="str">
            <v>- Tổ chức Đại hội Đảng Bộ Quân sự Tỉnh Yên Bái nhiệm kỳ 2025-2030 và đảm bảo an toàn cho Đại hội Đảng các cấp, Đại hội Đảng bộ tỉnh Yên Bái nhiệm kỳ 2025-2030</v>
          </cell>
          <cell r="C247">
            <v>2000</v>
          </cell>
        </row>
        <row r="248">
          <cell r="B248" t="str">
            <v>Văn phòng đoàn đại biểu Quốc hội và HĐND tỉnh (trong đó kinh phí mua sắm, sửa chữa trang thiết bị làm việc được thực hiện khi đảm bảo các quy định tại Nghị định số 138/2024/NĐ-CP ngày 24/10/2024 của Chính phủ 170  triệu đồng)</v>
          </cell>
          <cell r="C248">
            <v>26128.289539999998</v>
          </cell>
        </row>
        <row r="249">
          <cell r="B249" t="str">
            <v xml:space="preserve">Ban dân tộc </v>
          </cell>
          <cell r="C249">
            <v>8366.8625200000006</v>
          </cell>
        </row>
        <row r="250">
          <cell r="B250" t="str">
            <v>- Văn phòng Ban dân tộc (trong đó kinh phí mua sắm, sửa chữa trang thiết bị làm việc được thực hiện khi đảm bảo các quy định tại Nghị định số 138/2024/NĐ-CP ngày 24/10/2024 của Chính phủ 85 triệu đồng)</v>
          </cell>
          <cell r="C250">
            <v>6770.8625200000006</v>
          </cell>
        </row>
        <row r="251">
          <cell r="B251" t="str">
            <v>- Đề án giảm thiểu hôn nhân cận huyết thống (NSTW)</v>
          </cell>
          <cell r="C251">
            <v>110</v>
          </cell>
        </row>
        <row r="252">
          <cell r="B252" t="str">
            <v>- Kinh phí thực hiện chính sách người có uy tín trong đồng bào dân tộc thiểu số theo Quyết định số 12/2018/QĐ-TTg ngày 6/3/2018 và Quyết định số 28/2023/QĐ-TTg ngày 23/11/2023 của Thủ tướng Chính phủ</v>
          </cell>
          <cell r="C252">
            <v>1486</v>
          </cell>
        </row>
        <row r="253">
          <cell r="B253" t="str">
            <v xml:space="preserve">Thanh tra Tỉnh </v>
          </cell>
          <cell r="C253">
            <v>16122.898219999999</v>
          </cell>
        </row>
        <row r="254">
          <cell r="B254" t="str">
            <v>- Chi hoạt động thường xuyên</v>
          </cell>
          <cell r="C254">
            <v>15970.898219999999</v>
          </cell>
        </row>
        <row r="255">
          <cell r="B255" t="str">
            <v>- Kinh phí mua săm trang thiết bị làm việc của đơn vị được thực hiện khi đảm bảo các quy định tại Nghị định số 138/2024/NĐ-CP ngày 24/10/2024 của Chính phủ</v>
          </cell>
          <cell r="C255">
            <v>152</v>
          </cell>
        </row>
        <row r="256">
          <cell r="B256" t="str">
            <v xml:space="preserve">Sở Tài chính </v>
          </cell>
          <cell r="C256">
            <v>37886.53</v>
          </cell>
        </row>
        <row r="257">
          <cell r="B257" t="str">
            <v>- Hoạt động thường xuyên Văn phòng Sở Tài chính (kinh phí sửa chữa trang thiết bị làm việc được thực hiện khi đảm bảo các quy định tại Nghị định số 138/2024/NĐ-CP ngày 24/10/2024 của Chính phủ 250 triệu đồng)</v>
          </cell>
          <cell r="C257">
            <v>22386.53</v>
          </cell>
        </row>
        <row r="258">
          <cell r="B258" t="str">
            <v>- Chi đào tạo, tập huấn nghiệp vụ cán bộ tài chính</v>
          </cell>
          <cell r="C258">
            <v>500</v>
          </cell>
        </row>
        <row r="259">
          <cell r="B259" t="str">
            <v>- Chi sửa chữa trụ sở, tăng cường cơ sở vật chất và thực hiện các nhiệm vụ ngành tài chính (được thực hiện phân bổ và giao dự toán cho đơn vị khi đảm bảo các  quy định tại Nghị định số 138/2024/NĐ-CP ngày 24/10/2024 của Chính phủ)</v>
          </cell>
          <cell r="C259">
            <v>15000</v>
          </cell>
        </row>
        <row r="260">
          <cell r="B260" t="str">
            <v>Liên hiệp các tổ chức hữu nghị tỉnh</v>
          </cell>
          <cell r="C260">
            <v>952.50192000000004</v>
          </cell>
        </row>
        <row r="261">
          <cell r="B261" t="str">
            <v>Ủy ban Mặt trận Tổ quốc Việt Nam tỉnh</v>
          </cell>
          <cell r="C261">
            <v>9173.0765400000018</v>
          </cell>
        </row>
        <row r="262">
          <cell r="B262" t="str">
            <v xml:space="preserve">Hội liên hiệp phụ nữ tỉnh </v>
          </cell>
          <cell r="C262">
            <v>10765.837479999998</v>
          </cell>
        </row>
        <row r="263">
          <cell r="B263" t="str">
            <v>- Hội liên hiệp phụ nữ tỉnh</v>
          </cell>
          <cell r="C263">
            <v>9408.8374799999983</v>
          </cell>
        </row>
        <row r="264">
          <cell r="B264" t="str">
            <v>- Kinh phí thực hiện đề án bồi dưỡng cán bộ công chức hội liên hiệp phụ nữ các cấp và chi hội trưởng phụ nữ giai đoạn 2019-2025 theo Quyết định số 1893/QĐ-TTg ngày 31/12/2018 của Thủ tướng Chính phủ 230 triệu đồng (NSTW bổ sung có mục tiêu); đề án hỗ trợ hợp tác xã do phụ nữ tham gia quản lý, tạo việc làm cho lao động nữ tỉnh Yên Bái đến năm 2030 theo Quyết định số 435/QĐ-UBND ngày 26/3/2024 của UBND tỉnh 927 triệu đồng)</v>
          </cell>
          <cell r="C264">
            <v>1157</v>
          </cell>
        </row>
        <row r="265">
          <cell r="B265" t="str">
            <v>- Trung tâm hỗ trợ phụ nữ tỉnh</v>
          </cell>
          <cell r="C265">
            <v>200</v>
          </cell>
        </row>
        <row r="266">
          <cell r="B266" t="str">
            <v>Ban đại diện hội người cao tuổi tỉnh</v>
          </cell>
          <cell r="C266">
            <v>1253.6399999999999</v>
          </cell>
        </row>
        <row r="267">
          <cell r="B267" t="str">
            <v>Hội nông dân tỉnh</v>
          </cell>
          <cell r="C267">
            <v>6636.5042599999997</v>
          </cell>
        </row>
        <row r="268">
          <cell r="B268" t="str">
            <v>Hội Cựu chiến binh tỉnh</v>
          </cell>
          <cell r="C268">
            <v>3319.8298800000002</v>
          </cell>
        </row>
        <row r="269">
          <cell r="B269" t="str">
            <v xml:space="preserve">Hội chữ Thập đỏ </v>
          </cell>
          <cell r="C269">
            <v>4727.8092399999996</v>
          </cell>
        </row>
        <row r="270">
          <cell r="B270" t="str">
            <v>Hội Liên hiệp Văn học nghệ thuật (trong đó hỗ trợ các Hội văn học nghệ thuật địa phương 442 triệu đồng TW bổ sung có mục tiêu)</v>
          </cell>
          <cell r="C270">
            <v>5708.7</v>
          </cell>
        </row>
        <row r="271">
          <cell r="B271" t="str">
            <v>Hội Đông Y</v>
          </cell>
          <cell r="C271">
            <v>2234.7638360000001</v>
          </cell>
        </row>
        <row r="272">
          <cell r="B272" t="str">
            <v>Hội Nhà báo (trong đó hỗ trợ các Hội nhà báo địa phương 160 triệu đồng TW bổ sung có mục tiêu)</v>
          </cell>
          <cell r="C272">
            <v>3714.4136120000003</v>
          </cell>
        </row>
        <row r="273">
          <cell r="B273" t="str">
            <v>Liên hiệp các hội khoa học kỹ thuật tỉnh</v>
          </cell>
          <cell r="C273">
            <v>2968.8746799999999</v>
          </cell>
        </row>
        <row r="274">
          <cell r="B274" t="str">
            <v xml:space="preserve">Hội khuyến học </v>
          </cell>
          <cell r="C274">
            <v>1593.495868</v>
          </cell>
        </row>
        <row r="275">
          <cell r="B275" t="str">
            <v>Hội cựu thanh niên xung phong</v>
          </cell>
          <cell r="C275">
            <v>537.04</v>
          </cell>
        </row>
        <row r="276">
          <cell r="B276" t="str">
            <v>Hội người mù</v>
          </cell>
          <cell r="C276">
            <v>761.96129199999996</v>
          </cell>
        </row>
        <row r="277">
          <cell r="B277" t="str">
            <v>Hội nạn nhân chất độc da cam/dioxin và bảo trợ người khuyết tật, bảo vệ quyền trẻ em</v>
          </cell>
          <cell r="C277">
            <v>664.69239200000004</v>
          </cell>
        </row>
        <row r="278">
          <cell r="B278" t="str">
            <v>Hội khác hoạt động trong phạm vi địa phương</v>
          </cell>
          <cell r="C278">
            <v>500</v>
          </cell>
        </row>
        <row r="279">
          <cell r="B279" t="str">
            <v>Hội Luật gia</v>
          </cell>
          <cell r="C279">
            <v>457.42004399999996</v>
          </cell>
        </row>
        <row r="280">
          <cell r="B280" t="str">
            <v>Đề án, nhiệm vụ khác của tỉnh giai đoạn 2011-2025</v>
          </cell>
          <cell r="C280">
            <v>22000</v>
          </cell>
        </row>
        <row r="281">
          <cell r="B281" t="str">
            <v xml:space="preserve">Tòa án nhân dân tỉnh </v>
          </cell>
          <cell r="C281">
            <v>370</v>
          </cell>
        </row>
        <row r="282">
          <cell r="B282" t="str">
            <v>- Hỗ trợ hoạt động Hội thẩm nhân dân cấp tỉnh theo Pháp lệnh về thẩm phán và Hội thẩm tòa án nhân dân</v>
          </cell>
          <cell r="C282">
            <v>150</v>
          </cell>
        </row>
        <row r="283">
          <cell r="B283" t="str">
            <v>- Hỗ trợ  tuyên truyền giáo dục pháp luật…</v>
          </cell>
          <cell r="C283">
            <v>100</v>
          </cell>
        </row>
        <row r="284">
          <cell r="B284" t="str">
            <v>- Kinh phí hỗ trợ cải cách tư pháp</v>
          </cell>
          <cell r="C284">
            <v>120</v>
          </cell>
        </row>
        <row r="285">
          <cell r="B285" t="str">
            <v>Cục Thi hành án dân sự tỉnh (trong đó kinh phí Ban Chỉ đạo thi hành án dân sự cấp tỉnh theo 05/2016/TTLT-BTP-BCA-BTC-TANDTC-VKSNDTC ngày 19/5/2016 là 100 triệu đồng; kinh phí thực hiện các nhiệm vụ công tác cải cách tư pháp theo Công văn số 316/UBND-NC ngày 08/2/2023 của UBND tỉnh 200 triệu đồng)</v>
          </cell>
          <cell r="C285">
            <v>300</v>
          </cell>
        </row>
        <row r="286">
          <cell r="B286" t="str">
            <v>Viên kiểm sát nhân dân tỉnh</v>
          </cell>
          <cell r="C286">
            <v>250</v>
          </cell>
        </row>
        <row r="287">
          <cell r="B287" t="str">
            <v>Liên đoàn lao động tỉnh</v>
          </cell>
          <cell r="C287">
            <v>450</v>
          </cell>
        </row>
        <row r="288">
          <cell r="B288" t="str">
            <v>- Chi công tác giám sát, phản biện xã hội</v>
          </cell>
          <cell r="C288">
            <v>100</v>
          </cell>
        </row>
        <row r="289">
          <cell r="B289" t="str">
            <v>- Chi hoạt động của ban chỉ đạo phong trào toàn dân đoàn kết xây dựng đời sống văn hóa theo Kế hoạch số 150/KH-UBND ngày 8/7/2022 của UBND tỉnh Yên Bái</v>
          </cell>
          <cell r="C289">
            <v>50</v>
          </cell>
        </row>
        <row r="290">
          <cell r="B290" t="str">
            <v>- Chi tổ chức tết sum vầy</v>
          </cell>
          <cell r="C290">
            <v>300</v>
          </cell>
        </row>
        <row r="291">
          <cell r="B291" t="str">
            <v>Văn phòng điều phối nông thôn mới tỉnh Yên Bái giai đoạn 2021-2025</v>
          </cell>
          <cell r="C291">
            <v>950</v>
          </cell>
        </row>
        <row r="292">
          <cell r="B292" t="str">
            <v>Cục thống kê tỉnh</v>
          </cell>
          <cell r="C292">
            <v>1180</v>
          </cell>
        </row>
        <row r="293">
          <cell r="B293" t="str">
            <v>- Hỗ trợ thu thập thông tin, biên soạn, in ấn Niên giám thống kê hằng năm</v>
          </cell>
          <cell r="C293">
            <v>160</v>
          </cell>
        </row>
        <row r="294">
          <cell r="B294" t="str">
            <v>- Hỗ trợ kinh phí thu thập thông tin, biên soạn, in ấn tờ gấp số liệu kinh tế xã hội chủ yếu 6 tháng đầu năm và số liệu kinh tế xã hội chủ yếu cả năm phục vụ kỳ họp HĐND tỉnh</v>
          </cell>
          <cell r="C294">
            <v>160</v>
          </cell>
        </row>
        <row r="295">
          <cell r="B295" t="str">
            <v xml:space="preserve">- Kinh phí thực hiện phương án khảo sát đánh giá chỉ số hạnh phúc của người dân Yên Bái </v>
          </cell>
          <cell r="C295">
            <v>580</v>
          </cell>
        </row>
        <row r="296">
          <cell r="B296" t="str">
            <v>- Hỗ trợ kinh phí thu thập, tổng hợp và tính toán Tiêu chí số 10 đối với các xã phấn đấu về đích nông thôn mới giai đoạn 2021-2025 theo Văn bản 2229/UBND-NLN ngày 20/7/2022 của UBND tỉnh</v>
          </cell>
          <cell r="C296">
            <v>100</v>
          </cell>
        </row>
        <row r="297">
          <cell r="B297" t="str">
            <v>- Hỗ trợ kinh phí nghiên cứu, tính toán chỉ số năng suất các nhân tố tổng hợp (TFP) giai đoạn 2016-2020 và đề xuất các giải pháp nâng cao đóng góp của TFP vào kinh tế xã hội tỉnh Yên Bái trong giai đoạn tiếp theo</v>
          </cell>
          <cell r="C297">
            <v>90</v>
          </cell>
        </row>
        <row r="298">
          <cell r="B298" t="str">
            <v xml:space="preserve">- Hỗ trợ kinh phí thu thập thông tin, tổng hợp số liệu đánh giá kết quả thực hiện chỉ tiêu về tăng trưởng kinh tế GRDP giữa nhiệm kỳ </v>
          </cell>
          <cell r="C298">
            <v>90</v>
          </cell>
        </row>
        <row r="299">
          <cell r="B299" t="str">
            <v xml:space="preserve">Công an tỉnh </v>
          </cell>
          <cell r="C299">
            <v>21502</v>
          </cell>
        </row>
        <row r="300">
          <cell r="B300" t="str">
            <v>- Chi hoạt động an ninh thường xuyên</v>
          </cell>
          <cell r="C300">
            <v>16658.82</v>
          </cell>
        </row>
        <row r="301">
          <cell r="B301" t="str">
            <v xml:space="preserve">- Kinh phí Đề án xây dựng, bố trí lực lượng, bảo đảm điều kiện hoạt động của lực lượng tham gia bảo vệ an ninh, trật tự ở cơ sở trên địa bàn tỉnh Yên Bái, giai đoạn 2024-2030 theo Nghị quyết số 60/NQ-HĐND ngày 16/8/2024 của HĐND tỉnh </v>
          </cell>
          <cell r="C301">
            <v>3583.18</v>
          </cell>
        </row>
        <row r="302">
          <cell r="B302" t="str">
            <v>- Hỗ trợ hoạt động của Đảng ủy công an tỉnh</v>
          </cell>
          <cell r="C302">
            <v>600</v>
          </cell>
        </row>
        <row r="303">
          <cell r="B303" t="str">
            <v>- Chi hoạt động cảnh sát môi trường</v>
          </cell>
          <cell r="C303">
            <v>500</v>
          </cell>
        </row>
        <row r="304">
          <cell r="B304" t="str">
            <v>- Chi thực hiện Đề án "giảm thiểu tình trạng hôn nhân và hôn nhân cận huyết thống trong vùng đồng bào dân tộc thiểu số và miền núi tỉnh Yên Bái  giai đoạn 2023-2025 theo Đề án số 17-ĐA/TU ngày 24/8/2023 của Tỉnh uỷ Yên Bái</v>
          </cell>
          <cell r="C304">
            <v>160</v>
          </cell>
        </row>
        <row r="305">
          <cell r="B305" t="str">
            <v>Dự toán chi của các cơ quan Đảng cấp tỉnh</v>
          </cell>
          <cell r="C305">
            <v>267547.88805576001</v>
          </cell>
        </row>
        <row r="306">
          <cell r="B306" t="str">
            <v>- Văn phòng Tỉnh ủy và các đơn vị dự toán trực thuộc (phần ngân sách nhà nước cấp), trong đó kinh phí mua sắm, sửa chữa trang thiết bị làm việc của các đơn vị được thực hiện phân bổ và giao dự toán cho các cơ quan, đơn vị trực thuộc khi đảm bảo các quy định tại Nghị định số 138/2024/NĐ-CP ngày 24/10/2024 của Chính phủ 7.774 triệu đồng</v>
          </cell>
          <cell r="C306">
            <v>246163.71600000001</v>
          </cell>
        </row>
        <row r="307">
          <cell r="B307" t="str">
            <v>- Trường Chính trị tỉnh (Đã bao gồm kinh phí xây dựng Trường Chính trị tỉnh Yên Bái đạt các tiêu chí trường chính trị chuẩn mức 2, giai đoạn 2024-2030 theo Đề án số 22-ĐA/TU ngày 22/9/2024 của Tỉnh ủy Yên Bái là 2.800 triệu đồng; Kinh phí mua sắm, sửa chữa trang thiết bị làm việc; cải tạo phòng học ... đơn vị được thực hiện khi đảm bảo các quy định tại Nghị định số 138/2024/NĐ-CP ngày 24/10/2024 của Chính phủ 1.996 triệu đồng)</v>
          </cell>
          <cell r="C307">
            <v>21384.172055759998</v>
          </cell>
        </row>
        <row r="308">
          <cell r="B308" t="str">
            <v>Chi thực hiện các chính sách, nhiệm vụ khác của ngân sách cấp tỉnh</v>
          </cell>
          <cell r="C308">
            <v>586247.28</v>
          </cell>
        </row>
        <row r="309">
          <cell r="B309" t="str">
            <v>- Chi thực hiện nhiệm vụ đẩy mạnh việc học tập và làm theo tấm gương đạo đức Hồ Chí Minh ở cấp tỉnh theo Thông tư số 97/2018/TT-BTC của Bộ Tài chính</v>
          </cell>
          <cell r="C309">
            <v>1000</v>
          </cell>
        </row>
        <row r="310">
          <cell r="B310" t="str">
            <v xml:space="preserve">- Kinh phí thực hiện chính sách chuyển đổi số theo Nghị quyết 60/2022/NQ-HĐND ngày 9/12/2022 của Hội đồng nhân dân tỉnh Yên Bái </v>
          </cell>
          <cell r="C310">
            <v>23450</v>
          </cell>
        </row>
        <row r="311">
          <cell r="B311" t="str">
            <v xml:space="preserve">- Kinh phí thực hiện đổi mới, sắp xếp tổ chức bộ máy của hệ thống chính trị </v>
          </cell>
          <cell r="C311">
            <v>5000</v>
          </cell>
        </row>
        <row r="312">
          <cell r="B312" t="str">
            <v>- Hoạt động của Ban chỉ đạo 389 tỉnh (1)</v>
          </cell>
          <cell r="C312">
            <v>300</v>
          </cell>
        </row>
        <row r="313">
          <cell r="B313" t="str">
            <v>- Đề án xây dựng và tạo nguồn cán bộ trẻ, cán bộ nữ, cán bộ dân tộc thiểu số diện Ban Thường vụ tỉnh ủy quản lý đến năm 2030</v>
          </cell>
          <cell r="C313">
            <v>3000</v>
          </cell>
        </row>
        <row r="314">
          <cell r="B314" t="str">
            <v>- Chi xây dựng kế hoạch kinh tế - xã hội hàng năm</v>
          </cell>
          <cell r="C314">
            <v>2000</v>
          </cell>
        </row>
        <row r="315">
          <cell r="B315" t="str">
            <v xml:space="preserve">- Chi duy tu, sửa chữa giao thông miền núi </v>
          </cell>
          <cell r="C315">
            <v>15000</v>
          </cell>
        </row>
        <row r="316">
          <cell r="B316" t="str">
            <v>- Kinh phí Đại hội thi đua yêu nước năm 2025</v>
          </cell>
          <cell r="C316">
            <v>1500</v>
          </cell>
        </row>
        <row r="317">
          <cell r="B317" t="str">
            <v>- Hỗ trợ doanh nghiệp nhỏ và vừa (NSTW bổ sung có mục tiêu)</v>
          </cell>
          <cell r="C317">
            <v>670</v>
          </cell>
        </row>
        <row r="318">
          <cell r="B318" t="str">
            <v>- Bổ sung thực hiện Chương trình phát triển lâm nghiệp bền vững (NSTW bổ sung có mục tiêu)</v>
          </cell>
          <cell r="C318">
            <v>17880</v>
          </cell>
        </row>
        <row r="319">
          <cell r="B319" t="str">
            <v>- Dự phòng lĩnh vực để thực hiện chương trình, dự án khi được cấp có thẩm quyền phê duyệt (chỉ được phân bổ, giao dự toán khi đáp ứng đủ điều kiện)</v>
          </cell>
          <cell r="C319">
            <v>5000</v>
          </cell>
        </row>
        <row r="320">
          <cell r="B320" t="str">
            <v>- Chi đảm bảo xã hội; đối ứng chương trình mục tiêu quốc gia; các chính sách, nhiệm vụ khác của ngân sách cấp tỉnh và 10% tiết kiệm</v>
          </cell>
          <cell r="C320">
            <v>188947.27999999997</v>
          </cell>
        </row>
        <row r="321">
          <cell r="B321" t="str">
            <v>- Chính sách hỗ trợ đào tạo nghề trình độ sơ cấp cho thanh niên theo NĐ 61/2015/NĐ-CP của Chính phủ</v>
          </cell>
          <cell r="C321">
            <v>6050</v>
          </cell>
        </row>
        <row r="322">
          <cell r="B322" t="str">
            <v>- Dự phòng lĩnh vực để thực hiện Đề án, dự án ứng dụng công nghệ thông tin, xây dựng chính quyền điện tử, phát triển đô thị thông minh giai đoạn 2021-2025 định hướng đến năm 2030 theo Nghị quyết số 51-NQ/TU ngày 22/7/2021 của Tỉnh ủy Yên Bái</v>
          </cell>
          <cell r="C322">
            <v>140000</v>
          </cell>
        </row>
        <row r="323">
          <cell r="B323" t="str">
            <v>- Chi đối ứng và triển khai thực hiện các dự án sử dụng nguồn vốn vay ODA, vay ưu đãi nước ngoài</v>
          </cell>
          <cell r="C323">
            <v>3000</v>
          </cell>
        </row>
        <row r="324">
          <cell r="B324" t="str">
            <v>- Dự phòng lĩnh vực phát sinh sự nghiệp công nghệ thông tin được thực hiện khi có chủ trương cho phép của cấp có thẩm quyền</v>
          </cell>
          <cell r="C324">
            <v>10600</v>
          </cell>
        </row>
        <row r="325">
          <cell r="B325" t="str">
            <v>- Chính sách hỗ trợ doanh nghiệp vừa và nhỏ trên địa bàn tỉnh Yên Bái giai đoạn 2019-2025 theo Nghị quyết số 09/2020/NQ-HĐND ngày 20/4/2020 của HĐND tỉnh</v>
          </cell>
          <cell r="C325">
            <v>10000</v>
          </cell>
        </row>
        <row r="326">
          <cell r="B326" t="str">
            <v>- Chính sách về hỗ trợ phát triển kinh tế tập thể tỉnh Yên bái giai đoạn 2021-2025 theo Nghị quyết số 06/2021/NQQ-HĐND ngày 19/4/2021 của HĐND tỉnh</v>
          </cell>
          <cell r="C326">
            <v>7500</v>
          </cell>
        </row>
        <row r="327">
          <cell r="B327" t="str">
            <v xml:space="preserve">- Kinh phí lập, thẩm định, phê duyệt và điều chỉnh quy hoạch đô thị, quy hoạch nông thôn, quy hoạch có tính chất kỹ thuật, chuyên ngành và điều chỉnh quy hoạch theo quy định </v>
          </cell>
          <cell r="C327">
            <v>30000</v>
          </cell>
        </row>
        <row r="328">
          <cell r="B328" t="str">
            <v>- Kinh phí trợ cấp một lần khi nghỉ việc theo quy định được hỗ trợ theo Nghị quyết số 42/2024/NQ-HĐND ngày 11/7/2024 của HĐND tỉnh</v>
          </cell>
          <cell r="C328">
            <v>10000</v>
          </cell>
        </row>
        <row r="329">
          <cell r="B329" t="str">
            <v>- Đề án phòng chống tảo hôn, hôn nhân cận huyết thống, xuất cảnh trái phép đồng bào dân tộc thiểu số</v>
          </cell>
          <cell r="C329">
            <v>1000</v>
          </cell>
        </row>
        <row r="330">
          <cell r="B330" t="str">
            <v>- Chi mua sắm, sửa chữa ô tô và máy móc, thiết bị; bảo trì trụ sở làm việc…</v>
          </cell>
          <cell r="C330">
            <v>20000</v>
          </cell>
        </row>
        <row r="331">
          <cell r="B331" t="str">
            <v>- Kinh phí thực hiện chiến lược quốc gia phát triển kinh tế số giai đoạn 2023-2025 theo Kế hoạch 228/UBND-KH ngày 14/11/2023 và chiến lược quốc gia phát triển xã hội số đến năm 2025 theo Kế hoạch 231/KH-UBND ngày 16/11/2023 của Uỷ ban nhân dân tỉnh Yên Bái và nhiệm vụ khác</v>
          </cell>
          <cell r="C331">
            <v>27735</v>
          </cell>
        </row>
        <row r="332">
          <cell r="B332" t="str">
            <v>- Kinh phí đại hội Đảng các cấp nhiệm kỳ 2025-2030</v>
          </cell>
          <cell r="C332">
            <v>40000</v>
          </cell>
        </row>
        <row r="333">
          <cell r="B333" t="str">
            <v xml:space="preserve">- Chi khác của ngân sách cấp tỉnh </v>
          </cell>
          <cell r="C333">
            <v>9615</v>
          </cell>
        </row>
        <row r="334">
          <cell r="B334" t="str">
            <v>- Chi các hoạt động nâng cao chỉ số năng lực cạnh tranh cấp tỉnh (PCI), chỉ số cải cách hành chính (PARINDEX) và chỉ số hiệu quả và hành chính công cấp tỉnh (PAPI)</v>
          </cell>
          <cell r="C334">
            <v>3000</v>
          </cell>
        </row>
        <row r="335">
          <cell r="B335" t="str">
            <v>- Chi xử lý vi phạm hành chính; chi trang trải cho hoạt động thu phí, lệ phí; chi từ nguồn kinh phí được trích từ các khoản thu hồi phát hiện qua công tác thanh tra (được chi theo số thu đã thực nộp vào NS nhà nước)</v>
          </cell>
          <cell r="C335">
            <v>4000</v>
          </cell>
        </row>
      </sheetData>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6 06 2016"/>
      <sheetName val="Ngân sách huyện"/>
      <sheetName val="Dự án chuyen tiep, KC"/>
      <sheetName val="Trụ sở xã"/>
      <sheetName val="GTNT"/>
      <sheetName val="Cap bs von dieu lẹ"/>
      <sheetName val="10%"/>
      <sheetName val="Giáo dục"/>
      <sheetName val="SN Y tế"/>
      <sheetName val="KTTC"/>
      <sheetName val="SN giao thông"/>
      <sheetName val="SN Thuy loi"/>
      <sheetName val="Dự bị động viên"/>
      <sheetName val="Sheet1"/>
    </sheetNames>
    <sheetDataSet>
      <sheetData sheetId="0" refreshError="1"/>
      <sheetData sheetId="1" refreshError="1"/>
      <sheetData sheetId="2" refreshError="1"/>
      <sheetData sheetId="3">
        <row r="24">
          <cell r="BO24">
            <v>25000</v>
          </cell>
        </row>
        <row r="30">
          <cell r="BO30">
            <v>5000</v>
          </cell>
        </row>
        <row r="36">
          <cell r="BO36">
            <v>24895</v>
          </cell>
        </row>
        <row r="39">
          <cell r="BO39">
            <v>49000</v>
          </cell>
        </row>
        <row r="44">
          <cell r="BO44">
            <v>2550</v>
          </cell>
        </row>
        <row r="54">
          <cell r="BO54">
            <v>2000</v>
          </cell>
        </row>
      </sheetData>
      <sheetData sheetId="4">
        <row r="21">
          <cell r="K21">
            <v>2565</v>
          </cell>
        </row>
      </sheetData>
      <sheetData sheetId="5" refreshError="1"/>
      <sheetData sheetId="6" refreshError="1"/>
      <sheetData sheetId="7" refreshError="1"/>
      <sheetData sheetId="8">
        <row r="16">
          <cell r="W16">
            <v>1760</v>
          </cell>
        </row>
        <row r="17">
          <cell r="W17">
            <v>1100</v>
          </cell>
        </row>
        <row r="24">
          <cell r="W24">
            <v>800</v>
          </cell>
        </row>
        <row r="25">
          <cell r="W25">
            <v>900</v>
          </cell>
        </row>
        <row r="26">
          <cell r="W26">
            <v>800</v>
          </cell>
        </row>
        <row r="27">
          <cell r="W27">
            <v>1100</v>
          </cell>
        </row>
        <row r="28">
          <cell r="W28">
            <v>2155</v>
          </cell>
        </row>
        <row r="29">
          <cell r="W29">
            <v>2240</v>
          </cell>
        </row>
        <row r="31">
          <cell r="W31">
            <v>1100</v>
          </cell>
        </row>
        <row r="32">
          <cell r="W32">
            <v>1500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ngatang"/>
      <sheetName val="Bieu so 46"/>
      <sheetName val="Bieu so 47"/>
      <sheetName val="Bieu so 48"/>
      <sheetName val="Bieu so 49"/>
      <sheetName val="Bieu so 50"/>
      <sheetName val="Bieu so 51"/>
      <sheetName val="Bieu so 521"/>
      <sheetName val="Bieu so 52"/>
      <sheetName val="Bieu so 53"/>
      <sheetName val="Bieu so 54"/>
      <sheetName val="Bieu so 55"/>
      <sheetName val="Bieu so 56"/>
      <sheetName val="Bieu so 57"/>
      <sheetName val="Bieu so 581"/>
      <sheetName val="Bieu so 58"/>
      <sheetName val="52"/>
      <sheetName val="5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2">
          <cell r="Q12">
            <v>40500</v>
          </cell>
        </row>
        <row r="17">
          <cell r="Q17">
            <v>10300</v>
          </cell>
        </row>
        <row r="21">
          <cell r="Q21">
            <v>5000</v>
          </cell>
        </row>
        <row r="25">
          <cell r="Q25">
            <v>20000</v>
          </cell>
        </row>
        <row r="27">
          <cell r="Q27">
            <v>95588</v>
          </cell>
        </row>
        <row r="39">
          <cell r="Q39">
            <v>2184</v>
          </cell>
        </row>
        <row r="43">
          <cell r="Q43">
            <v>46000</v>
          </cell>
        </row>
        <row r="49">
          <cell r="Q49">
            <v>6300</v>
          </cell>
        </row>
        <row r="54">
          <cell r="Q54">
            <v>13500</v>
          </cell>
        </row>
        <row r="58">
          <cell r="Q58">
            <v>28500</v>
          </cell>
        </row>
        <row r="65">
          <cell r="Q65">
            <v>67800</v>
          </cell>
        </row>
        <row r="77">
          <cell r="Q77">
            <v>12300</v>
          </cell>
        </row>
        <row r="83">
          <cell r="Q83">
            <v>42700</v>
          </cell>
        </row>
        <row r="90">
          <cell r="Q90">
            <v>500</v>
          </cell>
        </row>
        <row r="93">
          <cell r="Q93">
            <v>2600</v>
          </cell>
        </row>
        <row r="98">
          <cell r="Q98">
            <v>186000</v>
          </cell>
        </row>
        <row r="101">
          <cell r="Q101">
            <v>57539</v>
          </cell>
        </row>
        <row r="107">
          <cell r="Q107">
            <v>48900</v>
          </cell>
        </row>
        <row r="110">
          <cell r="Q110">
            <v>6571</v>
          </cell>
        </row>
        <row r="113">
          <cell r="Q113">
            <v>500</v>
          </cell>
        </row>
        <row r="115">
          <cell r="Q115">
            <v>886535</v>
          </cell>
        </row>
        <row r="125">
          <cell r="Q125">
            <v>421372</v>
          </cell>
        </row>
        <row r="161">
          <cell r="Q161">
            <v>1034271</v>
          </cell>
        </row>
        <row r="186">
          <cell r="Q186">
            <v>215000</v>
          </cell>
        </row>
        <row r="193">
          <cell r="Q193">
            <v>8547</v>
          </cell>
        </row>
        <row r="202">
          <cell r="Q202">
            <v>66859</v>
          </cell>
        </row>
        <row r="227">
          <cell r="Q227">
            <v>166485</v>
          </cell>
        </row>
        <row r="240">
          <cell r="Q240">
            <v>79587</v>
          </cell>
        </row>
        <row r="253">
          <cell r="Q253">
            <v>19100</v>
          </cell>
        </row>
        <row r="261">
          <cell r="Q261">
            <v>1000</v>
          </cell>
        </row>
        <row r="264">
          <cell r="Q264">
            <v>91077</v>
          </cell>
        </row>
        <row r="274">
          <cell r="Q274">
            <v>447120.4</v>
          </cell>
        </row>
        <row r="310">
          <cell r="Q310">
            <v>62984</v>
          </cell>
        </row>
        <row r="325">
          <cell r="Q325">
            <v>9500</v>
          </cell>
        </row>
        <row r="328">
          <cell r="Q328">
            <v>136500</v>
          </cell>
        </row>
        <row r="334">
          <cell r="Q334">
            <v>30000</v>
          </cell>
        </row>
        <row r="337">
          <cell r="Q337">
            <v>510</v>
          </cell>
        </row>
        <row r="339">
          <cell r="Q339">
            <v>527</v>
          </cell>
        </row>
        <row r="342">
          <cell r="Q342">
            <v>606</v>
          </cell>
        </row>
        <row r="344">
          <cell r="Q344">
            <v>16</v>
          </cell>
        </row>
        <row r="346">
          <cell r="Q346">
            <v>24000</v>
          </cell>
        </row>
        <row r="349">
          <cell r="Q349">
            <v>3500</v>
          </cell>
        </row>
        <row r="351">
          <cell r="Q351">
            <v>1500</v>
          </cell>
        </row>
        <row r="353">
          <cell r="Q353">
            <v>10000</v>
          </cell>
        </row>
        <row r="355">
          <cell r="Q355">
            <v>1914</v>
          </cell>
        </row>
        <row r="357">
          <cell r="Q357">
            <v>600</v>
          </cell>
        </row>
        <row r="360">
          <cell r="Q360">
            <v>57004</v>
          </cell>
        </row>
        <row r="370">
          <cell r="Q370">
            <v>25000</v>
          </cell>
        </row>
        <row r="372">
          <cell r="Q372">
            <v>11627</v>
          </cell>
        </row>
        <row r="374">
          <cell r="Q374">
            <v>2000</v>
          </cell>
        </row>
        <row r="377">
          <cell r="Q377">
            <v>900</v>
          </cell>
        </row>
        <row r="379">
          <cell r="Q379">
            <v>400</v>
          </cell>
        </row>
        <row r="381">
          <cell r="Q381">
            <v>2382</v>
          </cell>
        </row>
        <row r="385">
          <cell r="Q385">
            <v>44606</v>
          </cell>
        </row>
        <row r="388">
          <cell r="Q388">
            <v>12939</v>
          </cell>
        </row>
        <row r="394">
          <cell r="Q394">
            <v>9500</v>
          </cell>
        </row>
        <row r="396">
          <cell r="Q396">
            <v>465</v>
          </cell>
        </row>
      </sheetData>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eu TH 01"/>
      <sheetName val="B02"/>
      <sheetName val="B03"/>
      <sheetName val="B04"/>
      <sheetName val="B05"/>
      <sheetName val="B06"/>
      <sheetName val="B07"/>
      <sheetName val="Gia hạn"/>
    </sheetNames>
    <sheetDataSet>
      <sheetData sheetId="0">
        <row r="9">
          <cell r="AC9">
            <v>8766773</v>
          </cell>
        </row>
      </sheetData>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52"/>
      <sheetName val="Biểu 58"/>
    </sheetNames>
    <sheetDataSet>
      <sheetData sheetId="0"/>
      <sheetData sheetId="1">
        <row r="11">
          <cell r="Q11">
            <v>15766</v>
          </cell>
        </row>
        <row r="15">
          <cell r="Q15">
            <v>18000</v>
          </cell>
        </row>
        <row r="22">
          <cell r="Q22">
            <v>23823</v>
          </cell>
        </row>
        <row r="38">
          <cell r="Q38">
            <v>12261</v>
          </cell>
        </row>
        <row r="39">
          <cell r="Q39">
            <v>12498</v>
          </cell>
        </row>
        <row r="40">
          <cell r="Q40">
            <v>6341</v>
          </cell>
        </row>
        <row r="41">
          <cell r="Q41">
            <v>14953</v>
          </cell>
        </row>
        <row r="42">
          <cell r="Q42">
            <v>397</v>
          </cell>
        </row>
        <row r="45">
          <cell r="Q45">
            <v>8452</v>
          </cell>
        </row>
        <row r="46">
          <cell r="Q46">
            <v>12519</v>
          </cell>
        </row>
        <row r="48">
          <cell r="Q48">
            <v>154</v>
          </cell>
        </row>
        <row r="49">
          <cell r="Q49">
            <v>6711</v>
          </cell>
        </row>
        <row r="50">
          <cell r="Q50">
            <v>22400</v>
          </cell>
        </row>
        <row r="52">
          <cell r="Q52">
            <v>10000</v>
          </cell>
        </row>
        <row r="55">
          <cell r="Q55">
            <v>9200</v>
          </cell>
        </row>
        <row r="57">
          <cell r="Q57">
            <v>138000</v>
          </cell>
        </row>
        <row r="167">
          <cell r="Q167">
            <v>600</v>
          </cell>
        </row>
        <row r="169">
          <cell r="Q169">
            <v>90000</v>
          </cell>
        </row>
        <row r="172">
          <cell r="Q172">
            <v>5000</v>
          </cell>
        </row>
        <row r="174">
          <cell r="Q174">
            <v>4700</v>
          </cell>
        </row>
        <row r="177">
          <cell r="Q177">
            <v>1900</v>
          </cell>
        </row>
        <row r="180">
          <cell r="Q180">
            <v>2340</v>
          </cell>
        </row>
        <row r="183">
          <cell r="Q183">
            <v>600</v>
          </cell>
        </row>
        <row r="185">
          <cell r="Q185">
            <v>700</v>
          </cell>
        </row>
        <row r="187">
          <cell r="Q187">
            <v>4070</v>
          </cell>
        </row>
        <row r="189">
          <cell r="Q189">
            <v>10000</v>
          </cell>
        </row>
        <row r="191">
          <cell r="Q191">
            <v>1250</v>
          </cell>
        </row>
        <row r="193">
          <cell r="Q193">
            <v>3000</v>
          </cell>
        </row>
        <row r="195">
          <cell r="Q195">
            <v>300</v>
          </cell>
        </row>
        <row r="197">
          <cell r="Q197">
            <v>20000</v>
          </cell>
        </row>
        <row r="200">
          <cell r="Q200">
            <v>18000</v>
          </cell>
        </row>
        <row r="208">
          <cell r="Q208">
            <v>10000</v>
          </cell>
        </row>
        <row r="209">
          <cell r="Q209">
            <v>547221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2.7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Q51"/>
  <sheetViews>
    <sheetView showZeros="0" zoomScale="85" zoomScaleNormal="85" workbookViewId="0">
      <selection activeCell="E25" sqref="E25"/>
    </sheetView>
  </sheetViews>
  <sheetFormatPr defaultColWidth="9.140625" defaultRowHeight="12.75"/>
  <cols>
    <col min="1" max="1" width="6.5703125" style="447" customWidth="1"/>
    <col min="2" max="2" width="43.7109375" style="448" customWidth="1"/>
    <col min="3" max="3" width="8.85546875" style="442" customWidth="1"/>
    <col min="4" max="5" width="8.42578125" style="442" customWidth="1"/>
    <col min="6" max="6" width="8.140625" style="442" customWidth="1"/>
    <col min="7" max="7" width="7.28515625" style="442" customWidth="1"/>
    <col min="8" max="8" width="9.140625" style="442" customWidth="1"/>
    <col min="9" max="9" width="6.140625" style="442" customWidth="1"/>
    <col min="10" max="10" width="8" style="442" customWidth="1"/>
    <col min="11" max="12" width="8.5703125" style="442" customWidth="1"/>
    <col min="13" max="13" width="11.28515625" style="442" customWidth="1"/>
    <col min="14" max="14" width="12.7109375" style="442" customWidth="1"/>
    <col min="15" max="15" width="8" style="442" customWidth="1"/>
    <col min="16" max="16" width="20.85546875" style="443" customWidth="1"/>
    <col min="17" max="29" width="9.140625" style="443" customWidth="1"/>
    <col min="30" max="16384" width="9.140625" style="443"/>
  </cols>
  <sheetData>
    <row r="1" spans="1:17" ht="15.75">
      <c r="A1" s="730" t="s">
        <v>1629</v>
      </c>
      <c r="B1" s="730"/>
      <c r="M1" s="731" t="s">
        <v>377</v>
      </c>
      <c r="N1" s="731"/>
      <c r="O1" s="731"/>
    </row>
    <row r="3" spans="1:17" ht="18.75">
      <c r="A3" s="756" t="s">
        <v>378</v>
      </c>
      <c r="B3" s="757"/>
      <c r="C3" s="757"/>
      <c r="D3" s="757"/>
      <c r="E3" s="757"/>
      <c r="F3" s="757"/>
      <c r="G3" s="757"/>
      <c r="H3" s="757"/>
      <c r="I3" s="757"/>
      <c r="J3" s="757"/>
      <c r="K3" s="757"/>
      <c r="L3" s="757"/>
      <c r="M3" s="757"/>
      <c r="N3" s="757"/>
      <c r="O3" s="757"/>
    </row>
    <row r="4" spans="1:17" ht="19.899999999999999" customHeight="1">
      <c r="A4" s="756" t="s">
        <v>941</v>
      </c>
      <c r="B4" s="756"/>
      <c r="C4" s="756"/>
      <c r="D4" s="756"/>
      <c r="E4" s="756"/>
      <c r="F4" s="756"/>
      <c r="G4" s="756"/>
      <c r="H4" s="756"/>
      <c r="I4" s="756"/>
      <c r="J4" s="756"/>
      <c r="K4" s="756"/>
      <c r="L4" s="756"/>
      <c r="M4" s="756"/>
      <c r="N4" s="756"/>
      <c r="O4" s="756"/>
    </row>
    <row r="5" spans="1:17" ht="18.75">
      <c r="A5" s="734" t="s">
        <v>147</v>
      </c>
      <c r="B5" s="735"/>
      <c r="C5" s="735"/>
      <c r="D5" s="735"/>
      <c r="E5" s="735"/>
      <c r="F5" s="735"/>
      <c r="G5" s="735"/>
      <c r="H5" s="735"/>
      <c r="I5" s="735"/>
      <c r="J5" s="735"/>
      <c r="K5" s="735"/>
      <c r="L5" s="735"/>
      <c r="M5" s="735"/>
      <c r="N5" s="735"/>
      <c r="O5" s="735"/>
    </row>
    <row r="6" spans="1:17">
      <c r="A6" s="444"/>
      <c r="B6" s="445"/>
      <c r="C6" s="446"/>
      <c r="D6" s="446"/>
      <c r="E6" s="446"/>
      <c r="F6" s="446"/>
      <c r="G6" s="446"/>
      <c r="H6" s="446"/>
      <c r="I6" s="446"/>
      <c r="J6" s="446"/>
      <c r="K6" s="446"/>
      <c r="L6" s="446"/>
      <c r="M6" s="446"/>
      <c r="N6" s="446"/>
      <c r="O6" s="446"/>
    </row>
    <row r="7" spans="1:17" ht="15.75">
      <c r="H7" s="449"/>
      <c r="I7" s="449"/>
      <c r="K7" s="759" t="s">
        <v>64</v>
      </c>
      <c r="L7" s="759"/>
      <c r="M7" s="759"/>
      <c r="N7" s="759"/>
      <c r="O7" s="759"/>
    </row>
    <row r="8" spans="1:17" s="450" customFormat="1" ht="15.6" customHeight="1">
      <c r="A8" s="729" t="s">
        <v>2</v>
      </c>
      <c r="B8" s="737" t="s">
        <v>107</v>
      </c>
      <c r="C8" s="729" t="s">
        <v>54</v>
      </c>
      <c r="D8" s="755" t="s">
        <v>300</v>
      </c>
      <c r="E8" s="755"/>
      <c r="F8" s="755"/>
      <c r="G8" s="755"/>
      <c r="H8" s="755"/>
      <c r="I8" s="755"/>
      <c r="J8" s="755"/>
      <c r="K8" s="755"/>
      <c r="L8" s="755"/>
      <c r="M8" s="755"/>
      <c r="N8" s="755"/>
      <c r="O8" s="755"/>
    </row>
    <row r="9" spans="1:17" s="450" customFormat="1" ht="16.899999999999999" customHeight="1">
      <c r="A9" s="729" t="s">
        <v>65</v>
      </c>
      <c r="B9" s="737" t="s">
        <v>58</v>
      </c>
      <c r="C9" s="729"/>
      <c r="D9" s="729" t="s">
        <v>301</v>
      </c>
      <c r="E9" s="729" t="s">
        <v>134</v>
      </c>
      <c r="F9" s="729" t="s">
        <v>302</v>
      </c>
      <c r="G9" s="729" t="s">
        <v>303</v>
      </c>
      <c r="H9" s="729" t="s">
        <v>304</v>
      </c>
      <c r="I9" s="729" t="s">
        <v>136</v>
      </c>
      <c r="J9" s="729" t="s">
        <v>260</v>
      </c>
      <c r="K9" s="729" t="s">
        <v>131</v>
      </c>
      <c r="L9" s="755" t="s">
        <v>249</v>
      </c>
      <c r="M9" s="755"/>
      <c r="N9" s="729" t="s">
        <v>305</v>
      </c>
      <c r="O9" s="729" t="s">
        <v>306</v>
      </c>
    </row>
    <row r="10" spans="1:17" s="450" customFormat="1" ht="12">
      <c r="A10" s="729"/>
      <c r="B10" s="737"/>
      <c r="C10" s="729"/>
      <c r="D10" s="729" t="s">
        <v>69</v>
      </c>
      <c r="E10" s="729" t="s">
        <v>68</v>
      </c>
      <c r="F10" s="729" t="s">
        <v>68</v>
      </c>
      <c r="G10" s="729" t="s">
        <v>70</v>
      </c>
      <c r="H10" s="729" t="s">
        <v>68</v>
      </c>
      <c r="I10" s="729" t="s">
        <v>68</v>
      </c>
      <c r="J10" s="729"/>
      <c r="K10" s="729" t="s">
        <v>68</v>
      </c>
      <c r="L10" s="758" t="s">
        <v>250</v>
      </c>
      <c r="M10" s="758" t="s">
        <v>251</v>
      </c>
      <c r="N10" s="729" t="s">
        <v>67</v>
      </c>
      <c r="O10" s="729" t="s">
        <v>68</v>
      </c>
    </row>
    <row r="11" spans="1:17" s="450" customFormat="1" ht="12">
      <c r="A11" s="729"/>
      <c r="B11" s="737"/>
      <c r="C11" s="729"/>
      <c r="D11" s="729" t="s">
        <v>73</v>
      </c>
      <c r="E11" s="729" t="s">
        <v>75</v>
      </c>
      <c r="F11" s="729" t="s">
        <v>74</v>
      </c>
      <c r="G11" s="729" t="s">
        <v>76</v>
      </c>
      <c r="H11" s="729" t="s">
        <v>78</v>
      </c>
      <c r="I11" s="729" t="s">
        <v>77</v>
      </c>
      <c r="J11" s="729"/>
      <c r="K11" s="729" t="s">
        <v>72</v>
      </c>
      <c r="L11" s="758"/>
      <c r="M11" s="758"/>
      <c r="N11" s="729" t="s">
        <v>71</v>
      </c>
      <c r="O11" s="729" t="s">
        <v>79</v>
      </c>
    </row>
    <row r="12" spans="1:17" s="450" customFormat="1" ht="42.6" customHeight="1">
      <c r="A12" s="729"/>
      <c r="B12" s="737"/>
      <c r="C12" s="729"/>
      <c r="D12" s="729" t="s">
        <v>45</v>
      </c>
      <c r="E12" s="729" t="s">
        <v>46</v>
      </c>
      <c r="F12" s="729"/>
      <c r="G12" s="729" t="s">
        <v>47</v>
      </c>
      <c r="H12" s="729"/>
      <c r="I12" s="729" t="s">
        <v>48</v>
      </c>
      <c r="J12" s="729"/>
      <c r="K12" s="729" t="s">
        <v>28</v>
      </c>
      <c r="L12" s="758"/>
      <c r="M12" s="758"/>
      <c r="N12" s="729" t="s">
        <v>80</v>
      </c>
      <c r="O12" s="729" t="s">
        <v>53</v>
      </c>
    </row>
    <row r="13" spans="1:17" s="450" customFormat="1" ht="12">
      <c r="A13" s="451" t="s">
        <v>55</v>
      </c>
      <c r="B13" s="452" t="s">
        <v>56</v>
      </c>
      <c r="C13" s="451">
        <v>1</v>
      </c>
      <c r="D13" s="451">
        <v>2</v>
      </c>
      <c r="E13" s="451">
        <v>3</v>
      </c>
      <c r="F13" s="451">
        <v>4</v>
      </c>
      <c r="G13" s="451">
        <v>5</v>
      </c>
      <c r="H13" s="451">
        <v>6</v>
      </c>
      <c r="I13" s="451">
        <v>7</v>
      </c>
      <c r="J13" s="451">
        <v>8</v>
      </c>
      <c r="K13" s="451">
        <v>9</v>
      </c>
      <c r="L13" s="451">
        <v>10</v>
      </c>
      <c r="M13" s="451">
        <v>11</v>
      </c>
      <c r="N13" s="451">
        <v>12</v>
      </c>
      <c r="O13" s="451">
        <v>13</v>
      </c>
    </row>
    <row r="14" spans="1:17" s="456" customFormat="1">
      <c r="A14" s="453"/>
      <c r="B14" s="454" t="s">
        <v>54</v>
      </c>
      <c r="C14" s="441">
        <f t="shared" ref="C14:O14" si="0">SUM(C15:C49)</f>
        <v>9566367.1213218011</v>
      </c>
      <c r="D14" s="441">
        <f t="shared" si="0"/>
        <v>3677416.4000000004</v>
      </c>
      <c r="E14" s="441">
        <f t="shared" si="0"/>
        <v>351913.80299999996</v>
      </c>
      <c r="F14" s="441">
        <f t="shared" si="0"/>
        <v>1932793.5316631049</v>
      </c>
      <c r="G14" s="441">
        <f t="shared" si="0"/>
        <v>202290.90963516</v>
      </c>
      <c r="H14" s="441">
        <f t="shared" si="0"/>
        <v>113107</v>
      </c>
      <c r="I14" s="441">
        <f t="shared" si="0"/>
        <v>81797</v>
      </c>
      <c r="J14" s="441">
        <f t="shared" si="0"/>
        <v>13450</v>
      </c>
      <c r="K14" s="441">
        <f t="shared" si="0"/>
        <v>1116543.5778048001</v>
      </c>
      <c r="L14" s="441">
        <f t="shared" si="0"/>
        <v>489018</v>
      </c>
      <c r="M14" s="441">
        <f t="shared" si="0"/>
        <v>39962</v>
      </c>
      <c r="N14" s="441">
        <f t="shared" si="0"/>
        <v>1422685.5992187359</v>
      </c>
      <c r="O14" s="441">
        <f t="shared" si="0"/>
        <v>654369.30000000005</v>
      </c>
      <c r="P14" s="455"/>
      <c r="Q14" s="455"/>
    </row>
    <row r="15" spans="1:17" s="460" customFormat="1" ht="25.5">
      <c r="A15" s="457">
        <v>1</v>
      </c>
      <c r="B15" s="461" t="s">
        <v>774</v>
      </c>
      <c r="C15" s="458">
        <f>D15+E15+F15+G15+H15+I15+J15+K15+N15+O15</f>
        <v>467747</v>
      </c>
      <c r="D15" s="458">
        <f>VLOOKUP(B15,'[3]Chi thường xuyên 2026 (PL 05)'!$B$12:$P$163,6,FALSE)</f>
        <v>1000</v>
      </c>
      <c r="E15" s="458">
        <f>VLOOKUP(B15,'[3]Chi thường xuyên 2026 (PL 05)'!$B$12:$P$163,8,FALSE)</f>
        <v>0</v>
      </c>
      <c r="F15" s="458">
        <f>VLOOKUP(B15,'[3]Chi thường xuyên 2026 (PL 05)'!$B$12:$P$163,7,FALSE)</f>
        <v>0</v>
      </c>
      <c r="G15" s="458">
        <f>VLOOKUP(B15,'[3]Chi thường xuyên 2026 (PL 05)'!$B$12:$P$163,9,FALSE)</f>
        <v>0</v>
      </c>
      <c r="H15" s="458">
        <f>VLOOKUP(B15,'[3]Chi thường xuyên 2026 (PL 05)'!$B$12:$P$163,11,FALSE)</f>
        <v>0</v>
      </c>
      <c r="I15" s="458">
        <f>VLOOKUP(B15,'[3]Chi thường xuyên 2026 (PL 05)'!$B$12:$P$163,10,FALSE)</f>
        <v>0</v>
      </c>
      <c r="J15" s="458">
        <f>VLOOKUP(B15,'[3]Chi thường xuyên 2026 (PL 05)'!$B$12:$P$163,5,FALSE)</f>
        <v>9350</v>
      </c>
      <c r="K15" s="458">
        <f>VLOOKUP(B15,'[3]Chi thường xuyên 2026 (PL 05)'!$B$12:$P$163,4,FALSE)</f>
        <v>204773</v>
      </c>
      <c r="L15" s="458"/>
      <c r="M15" s="458">
        <f>'[3]Chi thường xuyên 2026 (PL 05)'!$C$15+'[3]Chi thường xuyên 2026 (PL 05)'!$C$16+'[3]Chi thường xuyên 2026 (PL 05)'!$C$18+'[3]Chi thường xuyên 2026 (PL 05)'!$C$20+'[3]Chi thường xuyên 2026 (PL 05)'!$C$23</f>
        <v>39962</v>
      </c>
      <c r="N15" s="458">
        <f>VLOOKUP(B15,'[3]Chi thường xuyên 2026 (PL 05)'!$B$12:$P$163,3,FALSE)</f>
        <v>252624</v>
      </c>
      <c r="O15" s="458">
        <f>VLOOKUP(B15,'[3]Chi thường xuyên 2026 (PL 05)'!$B$12:$P$163,12,FALSE)</f>
        <v>0</v>
      </c>
      <c r="P15" s="459"/>
    </row>
    <row r="16" spans="1:17" s="460" customFormat="1">
      <c r="A16" s="457">
        <v>2</v>
      </c>
      <c r="B16" s="461" t="s">
        <v>775</v>
      </c>
      <c r="C16" s="458">
        <f t="shared" ref="C16:C49" si="1">D16+E16+F16+G16+H16+I16+J16+K16+N16+O16</f>
        <v>54479</v>
      </c>
      <c r="D16" s="458">
        <f>VLOOKUP(B16,'[3]Chi thường xuyên 2026 (PL 05)'!$B$12:$P$163,6,FALSE)</f>
        <v>0</v>
      </c>
      <c r="E16" s="458">
        <f>VLOOKUP(B16,'[3]Chi thường xuyên 2026 (PL 05)'!$B$12:$P$163,8,FALSE)</f>
        <v>0</v>
      </c>
      <c r="F16" s="458">
        <f>VLOOKUP(B16,'[3]Chi thường xuyên 2026 (PL 05)'!$B$12:$P$163,7,FALSE)</f>
        <v>0</v>
      </c>
      <c r="G16" s="458">
        <f>VLOOKUP(B16,'[3]Chi thường xuyên 2026 (PL 05)'!$B$12:$P$163,9,FALSE)</f>
        <v>0</v>
      </c>
      <c r="H16" s="458">
        <f>VLOOKUP(B16,'[3]Chi thường xuyên 2026 (PL 05)'!$B$12:$P$163,11,FALSE)</f>
        <v>0</v>
      </c>
      <c r="I16" s="458">
        <f>VLOOKUP(B16,'[3]Chi thường xuyên 2026 (PL 05)'!$B$12:$P$163,10,FALSE)</f>
        <v>0</v>
      </c>
      <c r="J16" s="458">
        <f>VLOOKUP(B16,'[3]Chi thường xuyên 2026 (PL 05)'!$B$12:$P$163,5,FALSE)</f>
        <v>0</v>
      </c>
      <c r="K16" s="458">
        <f>VLOOKUP(B16,'[3]Chi thường xuyên 2026 (PL 05)'!$B$12:$P$163,4,FALSE)</f>
        <v>0</v>
      </c>
      <c r="L16" s="462"/>
      <c r="M16" s="462"/>
      <c r="N16" s="458">
        <f>VLOOKUP(B16,'[3]Chi thường xuyên 2026 (PL 05)'!$B$12:$P$163,3,FALSE)</f>
        <v>54479</v>
      </c>
      <c r="O16" s="458">
        <f>VLOOKUP(B16,'[3]Chi thường xuyên 2026 (PL 05)'!$B$12:$P$163,12,FALSE)</f>
        <v>0</v>
      </c>
    </row>
    <row r="17" spans="1:15" s="460" customFormat="1">
      <c r="A17" s="457">
        <v>3</v>
      </c>
      <c r="B17" s="461" t="s">
        <v>776</v>
      </c>
      <c r="C17" s="458">
        <f t="shared" si="1"/>
        <v>1713932</v>
      </c>
      <c r="D17" s="458">
        <f>VLOOKUP(B17,'[3]Chi thường xuyên 2026 (PL 05)'!$B$12:$P$163,6,FALSE)</f>
        <v>1690245</v>
      </c>
      <c r="E17" s="458">
        <f>VLOOKUP(B17,'[3]Chi thường xuyên 2026 (PL 05)'!$B$12:$P$163,8,FALSE)</f>
        <v>0</v>
      </c>
      <c r="F17" s="458">
        <f>VLOOKUP(B17,'[3]Chi thường xuyên 2026 (PL 05)'!$B$12:$P$163,7,FALSE)</f>
        <v>0</v>
      </c>
      <c r="G17" s="458">
        <f>VLOOKUP(B17,'[3]Chi thường xuyên 2026 (PL 05)'!$B$12:$P$163,9,FALSE)</f>
        <v>0</v>
      </c>
      <c r="H17" s="458">
        <f>VLOOKUP(B17,'[3]Chi thường xuyên 2026 (PL 05)'!$B$12:$P$163,11,FALSE)</f>
        <v>0</v>
      </c>
      <c r="I17" s="458">
        <f>VLOOKUP(B17,'[3]Chi thường xuyên 2026 (PL 05)'!$B$12:$P$163,10,FALSE)</f>
        <v>0</v>
      </c>
      <c r="J17" s="458">
        <f>VLOOKUP(B17,'[3]Chi thường xuyên 2026 (PL 05)'!$B$12:$P$163,5,FALSE)</f>
        <v>0</v>
      </c>
      <c r="K17" s="458">
        <f>VLOOKUP(B17,'[3]Chi thường xuyên 2026 (PL 05)'!$B$12:$P$163,4,FALSE)</f>
        <v>0</v>
      </c>
      <c r="L17" s="462"/>
      <c r="M17" s="462"/>
      <c r="N17" s="458">
        <f>VLOOKUP(B17,'[3]Chi thường xuyên 2026 (PL 05)'!$B$12:$P$163,3,FALSE)</f>
        <v>23687</v>
      </c>
      <c r="O17" s="458">
        <f>VLOOKUP(B17,'[3]Chi thường xuyên 2026 (PL 05)'!$B$12:$P$163,12,FALSE)</f>
        <v>0</v>
      </c>
    </row>
    <row r="18" spans="1:15" s="460" customFormat="1">
      <c r="A18" s="457">
        <v>4</v>
      </c>
      <c r="B18" s="461" t="s">
        <v>492</v>
      </c>
      <c r="C18" s="458">
        <f t="shared" si="1"/>
        <v>559984</v>
      </c>
      <c r="D18" s="458">
        <f>VLOOKUP(B18,'[3]Chi thường xuyên 2026 (PL 05)'!$B$12:$P$163,6,FALSE)</f>
        <v>0</v>
      </c>
      <c r="E18" s="458">
        <f>VLOOKUP(B18,'[3]Chi thường xuyên 2026 (PL 05)'!$B$12:$P$163,8,FALSE)</f>
        <v>0</v>
      </c>
      <c r="F18" s="458">
        <f>VLOOKUP(B18,'[3]Chi thường xuyên 2026 (PL 05)'!$B$12:$P$163,7,FALSE)</f>
        <v>0</v>
      </c>
      <c r="G18" s="458">
        <f>VLOOKUP(B18,'[3]Chi thường xuyên 2026 (PL 05)'!$B$12:$P$163,9,FALSE)</f>
        <v>0</v>
      </c>
      <c r="H18" s="458">
        <f>VLOOKUP(B18,'[3]Chi thường xuyên 2026 (PL 05)'!$B$12:$P$163,11,FALSE)</f>
        <v>0</v>
      </c>
      <c r="I18" s="458">
        <f>VLOOKUP(B18,'[3]Chi thường xuyên 2026 (PL 05)'!$B$12:$P$163,10,FALSE)</f>
        <v>0</v>
      </c>
      <c r="J18" s="458">
        <f>VLOOKUP(B18,'[3]Chi thường xuyên 2026 (PL 05)'!$B$12:$P$163,5,FALSE)</f>
        <v>0</v>
      </c>
      <c r="K18" s="458">
        <f>VLOOKUP(B18,'[3]Chi thường xuyên 2026 (PL 05)'!$B$12:$P$163,4,FALSE)</f>
        <v>489018</v>
      </c>
      <c r="L18" s="462">
        <f>K18</f>
        <v>489018</v>
      </c>
      <c r="M18" s="462"/>
      <c r="N18" s="458">
        <f>VLOOKUP(B18,'[3]Chi thường xuyên 2026 (PL 05)'!$B$12:$P$163,3,FALSE)</f>
        <v>70966</v>
      </c>
      <c r="O18" s="458">
        <f>VLOOKUP(B18,'[3]Chi thường xuyên 2026 (PL 05)'!$B$12:$P$163,12,FALSE)</f>
        <v>0</v>
      </c>
    </row>
    <row r="19" spans="1:15" s="460" customFormat="1">
      <c r="A19" s="457">
        <v>5</v>
      </c>
      <c r="B19" s="461" t="s">
        <v>777</v>
      </c>
      <c r="C19" s="458">
        <f t="shared" si="1"/>
        <v>204657</v>
      </c>
      <c r="D19" s="458">
        <f>VLOOKUP(B19,'[3]Chi thường xuyên 2026 (PL 05)'!$B$12:$P$163,6,FALSE)</f>
        <v>3000</v>
      </c>
      <c r="E19" s="458">
        <f>VLOOKUP(B19,'[3]Chi thường xuyên 2026 (PL 05)'!$B$12:$P$163,8,FALSE)</f>
        <v>175189</v>
      </c>
      <c r="F19" s="458">
        <f>VLOOKUP(B19,'[3]Chi thường xuyên 2026 (PL 05)'!$B$12:$P$163,7,FALSE)</f>
        <v>0</v>
      </c>
      <c r="G19" s="458">
        <f>VLOOKUP(B19,'[3]Chi thường xuyên 2026 (PL 05)'!$B$12:$P$163,9,FALSE)</f>
        <v>0</v>
      </c>
      <c r="H19" s="458">
        <f>VLOOKUP(B19,'[3]Chi thường xuyên 2026 (PL 05)'!$B$12:$P$163,11,FALSE)</f>
        <v>0</v>
      </c>
      <c r="I19" s="458">
        <f>VLOOKUP(B19,'[3]Chi thường xuyên 2026 (PL 05)'!$B$12:$P$163,10,FALSE)</f>
        <v>0</v>
      </c>
      <c r="J19" s="458">
        <f>VLOOKUP(B19,'[3]Chi thường xuyên 2026 (PL 05)'!$B$12:$P$163,5,FALSE)</f>
        <v>0</v>
      </c>
      <c r="K19" s="458">
        <f>VLOOKUP(B19,'[3]Chi thường xuyên 2026 (PL 05)'!$B$12:$P$163,4,FALSE)</f>
        <v>0</v>
      </c>
      <c r="L19" s="462"/>
      <c r="M19" s="462"/>
      <c r="N19" s="458">
        <f>VLOOKUP(B19,'[3]Chi thường xuyên 2026 (PL 05)'!$B$12:$P$163,3,FALSE)</f>
        <v>26468</v>
      </c>
      <c r="O19" s="458">
        <f>VLOOKUP(B19,'[3]Chi thường xuyên 2026 (PL 05)'!$B$12:$P$163,12,FALSE)</f>
        <v>0</v>
      </c>
    </row>
    <row r="20" spans="1:15" s="460" customFormat="1" ht="25.5">
      <c r="A20" s="457">
        <v>6</v>
      </c>
      <c r="B20" s="461" t="s">
        <v>778</v>
      </c>
      <c r="C20" s="458">
        <f t="shared" si="1"/>
        <v>197299.47795915999</v>
      </c>
      <c r="D20" s="458">
        <f>VLOOKUP(B20,'[3]Chi thường xuyên 2026 (PL 05)'!$B$12:$P$163,6,FALSE)</f>
        <v>1000</v>
      </c>
      <c r="E20" s="458">
        <f>VLOOKUP(B20,'[3]Chi thường xuyên 2026 (PL 05)'!$B$12:$P$163,8,FALSE)</f>
        <v>0</v>
      </c>
      <c r="F20" s="458">
        <f>VLOOKUP(B20,'[3]Chi thường xuyên 2026 (PL 05)'!$B$12:$P$163,7,FALSE)</f>
        <v>0</v>
      </c>
      <c r="G20" s="458">
        <f>VLOOKUP(B20,'[3]Chi thường xuyên 2026 (PL 05)'!$B$12:$P$163,9,FALSE)</f>
        <v>72233.734759159997</v>
      </c>
      <c r="H20" s="458">
        <f>VLOOKUP(B20,'[3]Chi thường xuyên 2026 (PL 05)'!$B$12:$P$163,11,FALSE)</f>
        <v>0</v>
      </c>
      <c r="I20" s="458">
        <f>VLOOKUP(B20,'[3]Chi thường xuyên 2026 (PL 05)'!$B$12:$P$163,10,FALSE)</f>
        <v>81797</v>
      </c>
      <c r="J20" s="458">
        <f>VLOOKUP(B20,'[3]Chi thường xuyên 2026 (PL 05)'!$B$12:$P$163,5,FALSE)</f>
        <v>0</v>
      </c>
      <c r="K20" s="458">
        <f>VLOOKUP(B20,'[3]Chi thường xuyên 2026 (PL 05)'!$B$12:$P$163,4,FALSE)</f>
        <v>12911.743200000001</v>
      </c>
      <c r="L20" s="462"/>
      <c r="M20" s="462"/>
      <c r="N20" s="458">
        <f>VLOOKUP(B20,'[3]Chi thường xuyên 2026 (PL 05)'!$B$12:$P$163,3,FALSE)</f>
        <v>29357</v>
      </c>
      <c r="O20" s="458">
        <f>VLOOKUP(B20,'[3]Chi thường xuyên 2026 (PL 05)'!$B$12:$P$163,12,FALSE)</f>
        <v>0</v>
      </c>
    </row>
    <row r="21" spans="1:15" s="460" customFormat="1">
      <c r="A21" s="457">
        <v>7</v>
      </c>
      <c r="B21" s="461" t="s">
        <v>51</v>
      </c>
      <c r="C21" s="458">
        <f t="shared" si="1"/>
        <v>122393.82980799999</v>
      </c>
      <c r="D21" s="458">
        <f>VLOOKUP(B21,'[3]Chi thường xuyên 2026 (PL 05)'!$B$12:$P$163,6,FALSE)</f>
        <v>24013</v>
      </c>
      <c r="E21" s="458">
        <f>VLOOKUP(B21,'[3]Chi thường xuyên 2026 (PL 05)'!$B$12:$P$163,8,FALSE)</f>
        <v>3120</v>
      </c>
      <c r="F21" s="458">
        <f>VLOOKUP(B21,'[3]Chi thường xuyên 2026 (PL 05)'!$B$12:$P$163,7,FALSE)</f>
        <v>0</v>
      </c>
      <c r="G21" s="458">
        <f>VLOOKUP(B21,'[3]Chi thường xuyên 2026 (PL 05)'!$B$12:$P$163,9,FALSE)</f>
        <v>0</v>
      </c>
      <c r="H21" s="458">
        <f>VLOOKUP(B21,'[3]Chi thường xuyên 2026 (PL 05)'!$B$12:$P$163,11,FALSE)</f>
        <v>0</v>
      </c>
      <c r="I21" s="458">
        <f>VLOOKUP(B21,'[3]Chi thường xuyên 2026 (PL 05)'!$B$12:$P$163,10,FALSE)</f>
        <v>0</v>
      </c>
      <c r="J21" s="458">
        <f>VLOOKUP(B21,'[3]Chi thường xuyên 2026 (PL 05)'!$B$12:$P$163,5,FALSE)</f>
        <v>0</v>
      </c>
      <c r="K21" s="458">
        <f>VLOOKUP(B21,'[3]Chi thường xuyên 2026 (PL 05)'!$B$12:$P$163,4,FALSE)</f>
        <v>12476.829807999999</v>
      </c>
      <c r="L21" s="462"/>
      <c r="M21" s="462"/>
      <c r="N21" s="458">
        <f>VLOOKUP(B21,'[3]Chi thường xuyên 2026 (PL 05)'!$B$12:$P$163,3,FALSE)</f>
        <v>41939</v>
      </c>
      <c r="O21" s="458">
        <f>VLOOKUP(B21,'[3]Chi thường xuyên 2026 (PL 05)'!$B$12:$P$163,12,FALSE)</f>
        <v>40845</v>
      </c>
    </row>
    <row r="22" spans="1:15" s="460" customFormat="1">
      <c r="A22" s="457">
        <v>8</v>
      </c>
      <c r="B22" s="461" t="s">
        <v>779</v>
      </c>
      <c r="C22" s="458">
        <f t="shared" si="1"/>
        <v>29097.712455999997</v>
      </c>
      <c r="D22" s="458">
        <f>VLOOKUP(B22,'[3]Chi thường xuyên 2026 (PL 05)'!$B$12:$P$163,6,FALSE)</f>
        <v>0</v>
      </c>
      <c r="E22" s="458">
        <f>VLOOKUP(B22,'[3]Chi thường xuyên 2026 (PL 05)'!$B$12:$P$163,8,FALSE)</f>
        <v>0</v>
      </c>
      <c r="F22" s="458">
        <f>VLOOKUP(B22,'[3]Chi thường xuyên 2026 (PL 05)'!$B$12:$P$163,7,FALSE)</f>
        <v>0</v>
      </c>
      <c r="G22" s="458">
        <f>VLOOKUP(B22,'[3]Chi thường xuyên 2026 (PL 05)'!$B$12:$P$163,9,FALSE)</f>
        <v>0</v>
      </c>
      <c r="H22" s="458">
        <f>VLOOKUP(B22,'[3]Chi thường xuyên 2026 (PL 05)'!$B$12:$P$163,11,FALSE)</f>
        <v>0</v>
      </c>
      <c r="I22" s="458">
        <f>VLOOKUP(B22,'[3]Chi thường xuyên 2026 (PL 05)'!$B$12:$P$163,10,FALSE)</f>
        <v>0</v>
      </c>
      <c r="J22" s="458">
        <f>VLOOKUP(B22,'[3]Chi thường xuyên 2026 (PL 05)'!$B$12:$P$163,5,FALSE)</f>
        <v>0</v>
      </c>
      <c r="K22" s="458">
        <f>VLOOKUP(B22,'[3]Chi thường xuyên 2026 (PL 05)'!$B$12:$P$163,4,FALSE)</f>
        <v>14515.712455999997</v>
      </c>
      <c r="L22" s="462"/>
      <c r="M22" s="462"/>
      <c r="N22" s="458">
        <f>VLOOKUP(B22,'[3]Chi thường xuyên 2026 (PL 05)'!$B$12:$P$163,3,FALSE)</f>
        <v>14582</v>
      </c>
      <c r="O22" s="458">
        <f>VLOOKUP(B22,'[3]Chi thường xuyên 2026 (PL 05)'!$B$12:$P$163,12,FALSE)</f>
        <v>0</v>
      </c>
    </row>
    <row r="23" spans="1:15" s="460" customFormat="1">
      <c r="A23" s="457">
        <v>9</v>
      </c>
      <c r="B23" s="461" t="s">
        <v>780</v>
      </c>
      <c r="C23" s="458">
        <f t="shared" si="1"/>
        <v>41410</v>
      </c>
      <c r="D23" s="458">
        <f>VLOOKUP(B23,'[3]Chi thường xuyên 2026 (PL 05)'!$B$12:$P$163,6,FALSE)</f>
        <v>0</v>
      </c>
      <c r="E23" s="458">
        <f>VLOOKUP(B23,'[3]Chi thường xuyên 2026 (PL 05)'!$B$12:$P$163,8,FALSE)</f>
        <v>0</v>
      </c>
      <c r="F23" s="458">
        <f>VLOOKUP(B23,'[3]Chi thường xuyên 2026 (PL 05)'!$B$12:$P$163,7,FALSE)</f>
        <v>0</v>
      </c>
      <c r="G23" s="458">
        <f>VLOOKUP(B23,'[3]Chi thường xuyên 2026 (PL 05)'!$B$12:$P$163,9,FALSE)</f>
        <v>0</v>
      </c>
      <c r="H23" s="458">
        <f>VLOOKUP(B23,'[3]Chi thường xuyên 2026 (PL 05)'!$B$12:$P$163,11,FALSE)</f>
        <v>0</v>
      </c>
      <c r="I23" s="458">
        <f>VLOOKUP(B23,'[3]Chi thường xuyên 2026 (PL 05)'!$B$12:$P$163,10,FALSE)</f>
        <v>0</v>
      </c>
      <c r="J23" s="458">
        <f>VLOOKUP(B23,'[3]Chi thường xuyên 2026 (PL 05)'!$B$12:$P$163,5,FALSE)</f>
        <v>0</v>
      </c>
      <c r="K23" s="458">
        <f>VLOOKUP(B23,'[3]Chi thường xuyên 2026 (PL 05)'!$B$12:$P$163,4,FALSE)</f>
        <v>0</v>
      </c>
      <c r="L23" s="462"/>
      <c r="M23" s="462"/>
      <c r="N23" s="458">
        <f>VLOOKUP(B23,'[3]Chi thường xuyên 2026 (PL 05)'!$B$12:$P$163,3,FALSE)</f>
        <v>41410</v>
      </c>
      <c r="O23" s="458">
        <f>VLOOKUP(B23,'[3]Chi thường xuyên 2026 (PL 05)'!$B$12:$P$163,12,FALSE)</f>
        <v>0</v>
      </c>
    </row>
    <row r="24" spans="1:15" s="460" customFormat="1" ht="25.5">
      <c r="A24" s="457">
        <v>10</v>
      </c>
      <c r="B24" s="461" t="s">
        <v>781</v>
      </c>
      <c r="C24" s="458">
        <f t="shared" si="1"/>
        <v>100626.9948464</v>
      </c>
      <c r="D24" s="458">
        <f>VLOOKUP(B24,'[3]Chi thường xuyên 2026 (PL 05)'!$B$12:$P$163,6,FALSE)</f>
        <v>0</v>
      </c>
      <c r="E24" s="458">
        <f>VLOOKUP(B24,'[3]Chi thường xuyên 2026 (PL 05)'!$B$12:$P$163,8,FALSE)</f>
        <v>9725.8329999999987</v>
      </c>
      <c r="F24" s="458">
        <f>VLOOKUP(B24,'[3]Chi thường xuyên 2026 (PL 05)'!$B$12:$P$163,7,FALSE)</f>
        <v>0</v>
      </c>
      <c r="G24" s="458">
        <f>VLOOKUP(B24,'[3]Chi thường xuyên 2026 (PL 05)'!$B$12:$P$163,9,FALSE)</f>
        <v>6254.1748760000009</v>
      </c>
      <c r="H24" s="458">
        <f>VLOOKUP(B24,'[3]Chi thường xuyên 2026 (PL 05)'!$B$12:$P$163,11,FALSE)</f>
        <v>0</v>
      </c>
      <c r="I24" s="458">
        <f>VLOOKUP(B24,'[3]Chi thường xuyên 2026 (PL 05)'!$B$12:$P$163,10,FALSE)</f>
        <v>0</v>
      </c>
      <c r="J24" s="458">
        <f>VLOOKUP(B24,'[3]Chi thường xuyên 2026 (PL 05)'!$B$12:$P$163,5,FALSE)</f>
        <v>0</v>
      </c>
      <c r="K24" s="458">
        <f>VLOOKUP(B24,'[3]Chi thường xuyên 2026 (PL 05)'!$B$12:$P$163,4,FALSE)</f>
        <v>1442.9869704000002</v>
      </c>
      <c r="L24" s="458"/>
      <c r="M24" s="458"/>
      <c r="N24" s="458">
        <f>VLOOKUP(B24,'[3]Chi thường xuyên 2026 (PL 05)'!$B$12:$P$163,3,FALSE)</f>
        <v>83204</v>
      </c>
      <c r="O24" s="458">
        <f>VLOOKUP(B24,'[3]Chi thường xuyên 2026 (PL 05)'!$B$12:$P$163,12,FALSE)</f>
        <v>0</v>
      </c>
    </row>
    <row r="25" spans="1:15" s="460" customFormat="1">
      <c r="A25" s="457">
        <v>11</v>
      </c>
      <c r="B25" s="461" t="s">
        <v>95</v>
      </c>
      <c r="C25" s="458">
        <f t="shared" si="1"/>
        <v>896066.33166310505</v>
      </c>
      <c r="D25" s="458">
        <f>VLOOKUP(B25,'[3]Chi thường xuyên 2026 (PL 05)'!$B$12:$P$163,6,FALSE)</f>
        <v>27923</v>
      </c>
      <c r="E25" s="458">
        <f>VLOOKUP(B25,'[3]Chi thường xuyên 2026 (PL 05)'!$B$12:$P$163,8,FALSE)</f>
        <v>16599</v>
      </c>
      <c r="F25" s="458">
        <f>VLOOKUP(B25,'[3]Chi thường xuyên 2026 (PL 05)'!$B$12:$P$163,7,FALSE)</f>
        <v>788908.03166310501</v>
      </c>
      <c r="G25" s="458">
        <f>VLOOKUP(B25,'[3]Chi thường xuyên 2026 (PL 05)'!$B$12:$P$163,9,FALSE)</f>
        <v>0</v>
      </c>
      <c r="H25" s="458">
        <f>VLOOKUP(B25,'[3]Chi thường xuyên 2026 (PL 05)'!$B$12:$P$163,11,FALSE)</f>
        <v>0</v>
      </c>
      <c r="I25" s="458">
        <f>VLOOKUP(B25,'[3]Chi thường xuyên 2026 (PL 05)'!$B$12:$P$163,10,FALSE)</f>
        <v>0</v>
      </c>
      <c r="J25" s="458">
        <f>VLOOKUP(B25,'[3]Chi thường xuyên 2026 (PL 05)'!$B$12:$P$163,5,FALSE)</f>
        <v>0</v>
      </c>
      <c r="K25" s="458">
        <f>VLOOKUP(B25,'[3]Chi thường xuyên 2026 (PL 05)'!$B$12:$P$163,4,FALSE)</f>
        <v>500</v>
      </c>
      <c r="L25" s="462"/>
      <c r="M25" s="462"/>
      <c r="N25" s="458">
        <f>VLOOKUP(B25,'[3]Chi thường xuyên 2026 (PL 05)'!$B$12:$P$163,3,FALSE)</f>
        <v>28305</v>
      </c>
      <c r="O25" s="458">
        <f>VLOOKUP(B25,'[3]Chi thường xuyên 2026 (PL 05)'!$B$12:$P$163,12,FALSE)</f>
        <v>33831.300000000003</v>
      </c>
    </row>
    <row r="26" spans="1:15" s="460" customFormat="1">
      <c r="A26" s="457">
        <v>12</v>
      </c>
      <c r="B26" s="461" t="s">
        <v>782</v>
      </c>
      <c r="C26" s="458">
        <f t="shared" si="1"/>
        <v>35696.202996</v>
      </c>
      <c r="D26" s="458">
        <f>VLOOKUP(B26,'[3]Chi thường xuyên 2026 (PL 05)'!$B$12:$P$163,6,FALSE)</f>
        <v>0</v>
      </c>
      <c r="E26" s="458">
        <f>VLOOKUP(B26,'[3]Chi thường xuyên 2026 (PL 05)'!$B$12:$P$163,8,FALSE)</f>
        <v>3963.21</v>
      </c>
      <c r="F26" s="458">
        <f>VLOOKUP(B26,'[3]Chi thường xuyên 2026 (PL 05)'!$B$12:$P$163,7,FALSE)</f>
        <v>0</v>
      </c>
      <c r="G26" s="458">
        <f>VLOOKUP(B26,'[3]Chi thường xuyên 2026 (PL 05)'!$B$12:$P$163,9,FALSE)</f>
        <v>0</v>
      </c>
      <c r="H26" s="458">
        <f>VLOOKUP(B26,'[3]Chi thường xuyên 2026 (PL 05)'!$B$12:$P$163,11,FALSE)</f>
        <v>0</v>
      </c>
      <c r="I26" s="458">
        <f>VLOOKUP(B26,'[3]Chi thường xuyên 2026 (PL 05)'!$B$12:$P$163,10,FALSE)</f>
        <v>0</v>
      </c>
      <c r="J26" s="458">
        <f>VLOOKUP(B26,'[3]Chi thường xuyên 2026 (PL 05)'!$B$12:$P$163,5,FALSE)</f>
        <v>4000</v>
      </c>
      <c r="K26" s="458">
        <f>VLOOKUP(B26,'[3]Chi thường xuyên 2026 (PL 05)'!$B$12:$P$163,4,FALSE)</f>
        <v>8889</v>
      </c>
      <c r="L26" s="462"/>
      <c r="M26" s="462"/>
      <c r="N26" s="458">
        <f>VLOOKUP(B26,'[3]Chi thường xuyên 2026 (PL 05)'!$B$12:$P$163,3,FALSE)</f>
        <v>18843.992996000001</v>
      </c>
      <c r="O26" s="458">
        <f>VLOOKUP(B26,'[3]Chi thường xuyên 2026 (PL 05)'!$B$12:$P$163,12,FALSE)</f>
        <v>0</v>
      </c>
    </row>
    <row r="27" spans="1:15" s="460" customFormat="1">
      <c r="A27" s="457">
        <v>13</v>
      </c>
      <c r="B27" s="461" t="s">
        <v>783</v>
      </c>
      <c r="C27" s="458">
        <f t="shared" si="1"/>
        <v>8981.5818381600002</v>
      </c>
      <c r="D27" s="458">
        <f>VLOOKUP(B27,'[3]Chi thường xuyên 2026 (PL 05)'!$B$12:$P$163,6,FALSE)</f>
        <v>0</v>
      </c>
      <c r="E27" s="458">
        <f>VLOOKUP(B27,'[3]Chi thường xuyên 2026 (PL 05)'!$B$12:$P$163,8,FALSE)</f>
        <v>0</v>
      </c>
      <c r="F27" s="458">
        <f>VLOOKUP(B27,'[3]Chi thường xuyên 2026 (PL 05)'!$B$12:$P$163,7,FALSE)</f>
        <v>0</v>
      </c>
      <c r="G27" s="458">
        <f>VLOOKUP(B27,'[3]Chi thường xuyên 2026 (PL 05)'!$B$12:$P$163,9,FALSE)</f>
        <v>0</v>
      </c>
      <c r="H27" s="458">
        <f>VLOOKUP(B27,'[3]Chi thường xuyên 2026 (PL 05)'!$B$12:$P$163,11,FALSE)</f>
        <v>0</v>
      </c>
      <c r="I27" s="458">
        <f>VLOOKUP(B27,'[3]Chi thường xuyên 2026 (PL 05)'!$B$12:$P$163,10,FALSE)</f>
        <v>0</v>
      </c>
      <c r="J27" s="458">
        <f>VLOOKUP(B27,'[3]Chi thường xuyên 2026 (PL 05)'!$B$12:$P$163,5,FALSE)</f>
        <v>100</v>
      </c>
      <c r="K27" s="458">
        <f>VLOOKUP(B27,'[3]Chi thường xuyên 2026 (PL 05)'!$B$12:$P$163,4,FALSE)</f>
        <v>3085</v>
      </c>
      <c r="L27" s="458"/>
      <c r="M27" s="458"/>
      <c r="N27" s="458">
        <f>VLOOKUP(B27,'[3]Chi thường xuyên 2026 (PL 05)'!$B$12:$P$163,3,FALSE)</f>
        <v>5796.5818381600002</v>
      </c>
      <c r="O27" s="458">
        <f>VLOOKUP(B27,'[3]Chi thường xuyên 2026 (PL 05)'!$B$12:$P$163,12,FALSE)</f>
        <v>0</v>
      </c>
    </row>
    <row r="28" spans="1:15" s="460" customFormat="1">
      <c r="A28" s="457">
        <v>14</v>
      </c>
      <c r="B28" s="461" t="s">
        <v>784</v>
      </c>
      <c r="C28" s="458">
        <f t="shared" si="1"/>
        <v>20420.211087199998</v>
      </c>
      <c r="D28" s="458">
        <f>VLOOKUP(B28,'[3]Chi thường xuyên 2026 (PL 05)'!$B$12:$P$163,6,FALSE)</f>
        <v>0</v>
      </c>
      <c r="E28" s="458">
        <f>VLOOKUP(B28,'[3]Chi thường xuyên 2026 (PL 05)'!$B$12:$P$163,8,FALSE)</f>
        <v>0</v>
      </c>
      <c r="F28" s="458">
        <f>VLOOKUP(B28,'[3]Chi thường xuyên 2026 (PL 05)'!$B$12:$P$163,7,FALSE)</f>
        <v>0</v>
      </c>
      <c r="G28" s="458">
        <f>VLOOKUP(B28,'[3]Chi thường xuyên 2026 (PL 05)'!$B$12:$P$163,9,FALSE)</f>
        <v>0</v>
      </c>
      <c r="H28" s="458">
        <f>VLOOKUP(B28,'[3]Chi thường xuyên 2026 (PL 05)'!$B$12:$P$163,11,FALSE)</f>
        <v>0</v>
      </c>
      <c r="I28" s="458">
        <f>VLOOKUP(B28,'[3]Chi thường xuyên 2026 (PL 05)'!$B$12:$P$163,10,FALSE)</f>
        <v>0</v>
      </c>
      <c r="J28" s="458">
        <f>VLOOKUP(B28,'[3]Chi thường xuyên 2026 (PL 05)'!$B$12:$P$163,5,FALSE)</f>
        <v>0</v>
      </c>
      <c r="K28" s="458">
        <f>VLOOKUP(B28,'[3]Chi thường xuyên 2026 (PL 05)'!$B$12:$P$163,4,FALSE)</f>
        <v>0</v>
      </c>
      <c r="L28" s="462"/>
      <c r="M28" s="462"/>
      <c r="N28" s="458">
        <f>VLOOKUP(B28,'[3]Chi thường xuyên 2026 (PL 05)'!$B$12:$P$163,3,FALSE)</f>
        <v>20420.211087199998</v>
      </c>
      <c r="O28" s="458">
        <f>VLOOKUP(B28,'[3]Chi thường xuyên 2026 (PL 05)'!$B$12:$P$163,12,FALSE)</f>
        <v>0</v>
      </c>
    </row>
    <row r="29" spans="1:15" s="460" customFormat="1">
      <c r="A29" s="457">
        <v>15</v>
      </c>
      <c r="B29" s="461" t="s">
        <v>785</v>
      </c>
      <c r="C29" s="458">
        <f t="shared" si="1"/>
        <v>32682.613604000002</v>
      </c>
      <c r="D29" s="458">
        <f>VLOOKUP(B29,'[3]Chi thường xuyên 2026 (PL 05)'!$B$12:$P$163,6,FALSE)</f>
        <v>0</v>
      </c>
      <c r="E29" s="458">
        <f>VLOOKUP(B29,'[3]Chi thường xuyên 2026 (PL 05)'!$B$12:$P$163,8,FALSE)</f>
        <v>0</v>
      </c>
      <c r="F29" s="458">
        <f>VLOOKUP(B29,'[3]Chi thường xuyên 2026 (PL 05)'!$B$12:$P$163,7,FALSE)</f>
        <v>0</v>
      </c>
      <c r="G29" s="458">
        <f>VLOOKUP(B29,'[3]Chi thường xuyên 2026 (PL 05)'!$B$12:$P$163,9,FALSE)</f>
        <v>0</v>
      </c>
      <c r="H29" s="458">
        <f>VLOOKUP(B29,'[3]Chi thường xuyên 2026 (PL 05)'!$B$12:$P$163,11,FALSE)</f>
        <v>0</v>
      </c>
      <c r="I29" s="458">
        <f>VLOOKUP(B29,'[3]Chi thường xuyên 2026 (PL 05)'!$B$12:$P$163,10,FALSE)</f>
        <v>0</v>
      </c>
      <c r="J29" s="458">
        <f>VLOOKUP(B29,'[3]Chi thường xuyên 2026 (PL 05)'!$B$12:$P$163,5,FALSE)</f>
        <v>0</v>
      </c>
      <c r="K29" s="458">
        <f>VLOOKUP(B29,'[3]Chi thường xuyên 2026 (PL 05)'!$B$12:$P$163,4,FALSE)</f>
        <v>12550</v>
      </c>
      <c r="L29" s="462"/>
      <c r="M29" s="462"/>
      <c r="N29" s="458">
        <f>VLOOKUP(B29,'[3]Chi thường xuyên 2026 (PL 05)'!$B$12:$P$163,3,FALSE)</f>
        <v>20132.613604000002</v>
      </c>
      <c r="O29" s="458">
        <f>VLOOKUP(B29,'[3]Chi thường xuyên 2026 (PL 05)'!$B$12:$P$163,12,FALSE)</f>
        <v>0</v>
      </c>
    </row>
    <row r="30" spans="1:15" s="460" customFormat="1">
      <c r="A30" s="457">
        <v>16</v>
      </c>
      <c r="B30" s="461" t="s">
        <v>786</v>
      </c>
      <c r="C30" s="458">
        <f t="shared" si="1"/>
        <v>11265.194943999999</v>
      </c>
      <c r="D30" s="458">
        <f>VLOOKUP(B30,'[3]Chi thường xuyên 2026 (PL 05)'!$B$12:$P$163,6,FALSE)</f>
        <v>0</v>
      </c>
      <c r="E30" s="458">
        <f>VLOOKUP(B30,'[3]Chi thường xuyên 2026 (PL 05)'!$B$12:$P$163,8,FALSE)</f>
        <v>0</v>
      </c>
      <c r="F30" s="458">
        <f>VLOOKUP(B30,'[3]Chi thường xuyên 2026 (PL 05)'!$B$12:$P$163,7,FALSE)</f>
        <v>0</v>
      </c>
      <c r="G30" s="458">
        <f>VLOOKUP(B30,'[3]Chi thường xuyên 2026 (PL 05)'!$B$12:$P$163,9,FALSE)</f>
        <v>0</v>
      </c>
      <c r="H30" s="458">
        <f>VLOOKUP(B30,'[3]Chi thường xuyên 2026 (PL 05)'!$B$12:$P$163,11,FALSE)</f>
        <v>0</v>
      </c>
      <c r="I30" s="458">
        <f>VLOOKUP(B30,'[3]Chi thường xuyên 2026 (PL 05)'!$B$12:$P$163,10,FALSE)</f>
        <v>0</v>
      </c>
      <c r="J30" s="458">
        <f>VLOOKUP(B30,'[3]Chi thường xuyên 2026 (PL 05)'!$B$12:$P$163,5,FALSE)</f>
        <v>0</v>
      </c>
      <c r="K30" s="458">
        <f>VLOOKUP(B30,'[3]Chi thường xuyên 2026 (PL 05)'!$B$12:$P$163,4,FALSE)</f>
        <v>11265.194943999999</v>
      </c>
      <c r="L30" s="462"/>
      <c r="M30" s="462"/>
      <c r="N30" s="458">
        <f>VLOOKUP(B30,'[3]Chi thường xuyên 2026 (PL 05)'!$B$12:$P$163,3,FALSE)</f>
        <v>0</v>
      </c>
      <c r="O30" s="458">
        <f>VLOOKUP(B30,'[3]Chi thường xuyên 2026 (PL 05)'!$B$12:$P$163,12,FALSE)</f>
        <v>0</v>
      </c>
    </row>
    <row r="31" spans="1:15" s="460" customFormat="1">
      <c r="A31" s="457">
        <v>17</v>
      </c>
      <c r="B31" s="461" t="s">
        <v>787</v>
      </c>
      <c r="C31" s="458">
        <f t="shared" si="1"/>
        <v>57899.196559999997</v>
      </c>
      <c r="D31" s="458">
        <f>VLOOKUP(B31,'[3]Chi thường xuyên 2026 (PL 05)'!$B$12:$P$163,6,FALSE)</f>
        <v>0</v>
      </c>
      <c r="E31" s="458">
        <f>VLOOKUP(B31,'[3]Chi thường xuyên 2026 (PL 05)'!$B$12:$P$163,8,FALSE)</f>
        <v>0</v>
      </c>
      <c r="F31" s="458">
        <f>VLOOKUP(B31,'[3]Chi thường xuyên 2026 (PL 05)'!$B$12:$P$163,7,FALSE)</f>
        <v>0</v>
      </c>
      <c r="G31" s="458">
        <f>VLOOKUP(B31,'[3]Chi thường xuyên 2026 (PL 05)'!$B$12:$P$163,9,FALSE)</f>
        <v>0</v>
      </c>
      <c r="H31" s="458">
        <f>VLOOKUP(B31,'[3]Chi thường xuyên 2026 (PL 05)'!$B$12:$P$163,11,FALSE)</f>
        <v>0</v>
      </c>
      <c r="I31" s="458">
        <f>VLOOKUP(B31,'[3]Chi thường xuyên 2026 (PL 05)'!$B$12:$P$163,10,FALSE)</f>
        <v>0</v>
      </c>
      <c r="J31" s="458">
        <f>VLOOKUP(B31,'[3]Chi thường xuyên 2026 (PL 05)'!$B$12:$P$163,5,FALSE)</f>
        <v>0</v>
      </c>
      <c r="K31" s="458">
        <f>VLOOKUP(B31,'[3]Chi thường xuyên 2026 (PL 05)'!$B$12:$P$163,4,FALSE)</f>
        <v>0</v>
      </c>
      <c r="L31" s="462"/>
      <c r="M31" s="462"/>
      <c r="N31" s="458">
        <f>VLOOKUP(B31,'[3]Chi thường xuyên 2026 (PL 05)'!$B$12:$P$163,3,FALSE)</f>
        <v>57899.196559999997</v>
      </c>
      <c r="O31" s="458">
        <f>VLOOKUP(B31,'[3]Chi thường xuyên 2026 (PL 05)'!$B$12:$P$163,12,FALSE)</f>
        <v>0</v>
      </c>
    </row>
    <row r="32" spans="1:15" s="460" customFormat="1">
      <c r="A32" s="457">
        <v>18</v>
      </c>
      <c r="B32" s="461" t="s">
        <v>788</v>
      </c>
      <c r="C32" s="458">
        <f t="shared" si="1"/>
        <v>422182.254125376</v>
      </c>
      <c r="D32" s="458">
        <f>VLOOKUP(B32,'[3]Chi thường xuyên 2026 (PL 05)'!$B$12:$P$163,6,FALSE)</f>
        <v>0</v>
      </c>
      <c r="E32" s="458">
        <f>VLOOKUP(B32,'[3]Chi thường xuyên 2026 (PL 05)'!$B$12:$P$163,8,FALSE)</f>
        <v>8000</v>
      </c>
      <c r="F32" s="458">
        <f>VLOOKUP(B32,'[3]Chi thường xuyên 2026 (PL 05)'!$B$12:$P$163,7,FALSE)</f>
        <v>0</v>
      </c>
      <c r="G32" s="458">
        <f>VLOOKUP(B32,'[3]Chi thường xuyên 2026 (PL 05)'!$B$12:$P$163,9,FALSE)</f>
        <v>66003</v>
      </c>
      <c r="H32" s="458">
        <f>VLOOKUP(B32,'[3]Chi thường xuyên 2026 (PL 05)'!$B$12:$P$163,11,FALSE)</f>
        <v>111799</v>
      </c>
      <c r="I32" s="458">
        <f>VLOOKUP(B32,'[3]Chi thường xuyên 2026 (PL 05)'!$B$12:$P$163,10,FALSE)</f>
        <v>0</v>
      </c>
      <c r="J32" s="458">
        <f>VLOOKUP(B32,'[3]Chi thường xuyên 2026 (PL 05)'!$B$12:$P$163,5,FALSE)</f>
        <v>0</v>
      </c>
      <c r="K32" s="458">
        <f>VLOOKUP(B32,'[3]Chi thường xuyên 2026 (PL 05)'!$B$12:$P$163,4,FALSE)</f>
        <v>0</v>
      </c>
      <c r="L32" s="462">
        <f>K32</f>
        <v>0</v>
      </c>
      <c r="M32" s="462"/>
      <c r="N32" s="458">
        <f>VLOOKUP(B32,'[3]Chi thường xuyên 2026 (PL 05)'!$B$12:$P$163,3,FALSE)</f>
        <v>236380.254125376</v>
      </c>
      <c r="O32" s="458">
        <f>VLOOKUP(B32,'[3]Chi thường xuyên 2026 (PL 05)'!$B$12:$P$163,12,FALSE)</f>
        <v>0</v>
      </c>
    </row>
    <row r="33" spans="1:15" s="460" customFormat="1">
      <c r="A33" s="457">
        <v>19</v>
      </c>
      <c r="B33" s="461" t="s">
        <v>789</v>
      </c>
      <c r="C33" s="458">
        <f t="shared" si="1"/>
        <v>129177.4476384</v>
      </c>
      <c r="D33" s="458">
        <f>VLOOKUP(B33,'[3]Chi thường xuyên 2026 (PL 05)'!$B$12:$P$163,6,FALSE)</f>
        <v>1000</v>
      </c>
      <c r="E33" s="458">
        <f>VLOOKUP(B33,'[3]Chi thường xuyên 2026 (PL 05)'!$B$12:$P$163,8,FALSE)</f>
        <v>0</v>
      </c>
      <c r="F33" s="458">
        <f>VLOOKUP(B33,'[3]Chi thường xuyên 2026 (PL 05)'!$B$12:$P$163,7,FALSE)</f>
        <v>0</v>
      </c>
      <c r="G33" s="458">
        <f>VLOOKUP(B33,'[3]Chi thường xuyên 2026 (PL 05)'!$B$12:$P$163,9,FALSE)</f>
        <v>0</v>
      </c>
      <c r="H33" s="458">
        <f>VLOOKUP(B33,'[3]Chi thường xuyên 2026 (PL 05)'!$B$12:$P$163,11,FALSE)</f>
        <v>0</v>
      </c>
      <c r="I33" s="458">
        <f>VLOOKUP(B33,'[3]Chi thường xuyên 2026 (PL 05)'!$B$12:$P$163,10,FALSE)</f>
        <v>0</v>
      </c>
      <c r="J33" s="458">
        <f>VLOOKUP(B33,'[3]Chi thường xuyên 2026 (PL 05)'!$B$12:$P$163,5,FALSE)</f>
        <v>0</v>
      </c>
      <c r="K33" s="458">
        <f>VLOOKUP(B33,'[3]Chi thường xuyên 2026 (PL 05)'!$B$12:$P$163,4,FALSE)</f>
        <v>55002.447638400001</v>
      </c>
      <c r="L33" s="458"/>
      <c r="M33" s="458"/>
      <c r="N33" s="458">
        <f>VLOOKUP(B33,'[3]Chi thường xuyên 2026 (PL 05)'!$B$12:$P$163,3,FALSE)</f>
        <v>73175</v>
      </c>
      <c r="O33" s="458">
        <f>VLOOKUP(B33,'[3]Chi thường xuyên 2026 (PL 05)'!$B$12:$P$163,12,FALSE)</f>
        <v>0</v>
      </c>
    </row>
    <row r="34" spans="1:15" s="460" customFormat="1">
      <c r="A34" s="457">
        <v>20</v>
      </c>
      <c r="B34" s="461" t="s">
        <v>790</v>
      </c>
      <c r="C34" s="458">
        <f t="shared" si="1"/>
        <v>69339.775280000002</v>
      </c>
      <c r="D34" s="458">
        <f>VLOOKUP(B34,'[3]Chi thường xuyên 2026 (PL 05)'!$B$12:$P$163,6,FALSE)</f>
        <v>5835</v>
      </c>
      <c r="E34" s="458">
        <f>VLOOKUP(B34,'[3]Chi thường xuyên 2026 (PL 05)'!$B$12:$P$163,8,FALSE)</f>
        <v>0</v>
      </c>
      <c r="F34" s="458">
        <f>VLOOKUP(B34,'[3]Chi thường xuyên 2026 (PL 05)'!$B$12:$P$163,7,FALSE)</f>
        <v>0</v>
      </c>
      <c r="G34" s="458">
        <f>VLOOKUP(B34,'[3]Chi thường xuyên 2026 (PL 05)'!$B$12:$P$163,9,FALSE)</f>
        <v>0</v>
      </c>
      <c r="H34" s="458">
        <f>VLOOKUP(B34,'[3]Chi thường xuyên 2026 (PL 05)'!$B$12:$P$163,11,FALSE)</f>
        <v>457</v>
      </c>
      <c r="I34" s="458">
        <f>VLOOKUP(B34,'[3]Chi thường xuyên 2026 (PL 05)'!$B$12:$P$163,10,FALSE)</f>
        <v>0</v>
      </c>
      <c r="J34" s="458">
        <f>VLOOKUP(B34,'[3]Chi thường xuyên 2026 (PL 05)'!$B$12:$P$163,5,FALSE)</f>
        <v>0</v>
      </c>
      <c r="K34" s="458">
        <f>VLOOKUP(B34,'[3]Chi thường xuyên 2026 (PL 05)'!$B$12:$P$163,4,FALSE)</f>
        <v>0</v>
      </c>
      <c r="L34" s="462"/>
      <c r="M34" s="462"/>
      <c r="N34" s="458">
        <f>VLOOKUP(B34,'[3]Chi thường xuyên 2026 (PL 05)'!$B$12:$P$163,3,FALSE)</f>
        <v>63047.775280000002</v>
      </c>
      <c r="O34" s="458">
        <f>VLOOKUP(B34,'[3]Chi thường xuyên 2026 (PL 05)'!$B$12:$P$163,12,FALSE)</f>
        <v>0</v>
      </c>
    </row>
    <row r="35" spans="1:15" s="460" customFormat="1" ht="38.25">
      <c r="A35" s="457">
        <v>21</v>
      </c>
      <c r="B35" s="461" t="s">
        <v>791</v>
      </c>
      <c r="C35" s="458">
        <f t="shared" si="1"/>
        <v>134517.39651600001</v>
      </c>
      <c r="D35" s="458">
        <f>VLOOKUP(B35,'[3]Chi thường xuyên 2026 (PL 05)'!$B$12:$P$163,6,FALSE)</f>
        <v>5240</v>
      </c>
      <c r="E35" s="458">
        <f>VLOOKUP(B35,'[3]Chi thường xuyên 2026 (PL 05)'!$B$12:$P$163,8,FALSE)</f>
        <v>2062.7600000000002</v>
      </c>
      <c r="F35" s="458">
        <f>VLOOKUP(B35,'[3]Chi thường xuyên 2026 (PL 05)'!$B$12:$P$163,7,FALSE)</f>
        <v>0</v>
      </c>
      <c r="G35" s="458">
        <f>VLOOKUP(B35,'[3]Chi thường xuyên 2026 (PL 05)'!$B$12:$P$163,9,FALSE)</f>
        <v>7800</v>
      </c>
      <c r="H35" s="458">
        <f>VLOOKUP(B35,'[3]Chi thường xuyên 2026 (PL 05)'!$B$12:$P$163,11,FALSE)</f>
        <v>851</v>
      </c>
      <c r="I35" s="458">
        <f>VLOOKUP(B35,'[3]Chi thường xuyên 2026 (PL 05)'!$B$12:$P$163,10,FALSE)</f>
        <v>0</v>
      </c>
      <c r="J35" s="458">
        <f>VLOOKUP(B35,'[3]Chi thường xuyên 2026 (PL 05)'!$B$12:$P$163,5,FALSE)</f>
        <v>0</v>
      </c>
      <c r="K35" s="458">
        <f>VLOOKUP(B35,'[3]Chi thường xuyên 2026 (PL 05)'!$B$12:$P$163,4,FALSE)</f>
        <v>7694.6627879999996</v>
      </c>
      <c r="L35" s="462"/>
      <c r="M35" s="462"/>
      <c r="N35" s="458">
        <f>VLOOKUP(B35,'[3]Chi thường xuyên 2026 (PL 05)'!$B$12:$P$163,3,FALSE)</f>
        <v>110868.97372800001</v>
      </c>
      <c r="O35" s="458">
        <f>VLOOKUP(B35,'[3]Chi thường xuyên 2026 (PL 05)'!$B$12:$P$163,12,FALSE)</f>
        <v>0</v>
      </c>
    </row>
    <row r="36" spans="1:15" s="460" customFormat="1">
      <c r="A36" s="457">
        <v>22</v>
      </c>
      <c r="B36" s="461" t="s">
        <v>792</v>
      </c>
      <c r="C36" s="458">
        <f t="shared" si="1"/>
        <v>39044</v>
      </c>
      <c r="D36" s="458">
        <f>VLOOKUP(B36,'[3]Chi thường xuyên 2026 (PL 05)'!$B$12:$P$163,6,FALSE)</f>
        <v>38654</v>
      </c>
      <c r="E36" s="458">
        <f>VLOOKUP(B36,'[3]Chi thường xuyên 2026 (PL 05)'!$B$12:$P$163,8,FALSE)</f>
        <v>390</v>
      </c>
      <c r="F36" s="458">
        <f>VLOOKUP(B36,'[3]Chi thường xuyên 2026 (PL 05)'!$B$12:$P$163,7,FALSE)</f>
        <v>0</v>
      </c>
      <c r="G36" s="458">
        <f>VLOOKUP(B36,'[3]Chi thường xuyên 2026 (PL 05)'!$B$12:$P$163,9,FALSE)</f>
        <v>0</v>
      </c>
      <c r="H36" s="458">
        <f>VLOOKUP(B36,'[3]Chi thường xuyên 2026 (PL 05)'!$B$12:$P$163,11,FALSE)</f>
        <v>0</v>
      </c>
      <c r="I36" s="458">
        <f>VLOOKUP(B36,'[3]Chi thường xuyên 2026 (PL 05)'!$B$12:$P$163,10,FALSE)</f>
        <v>0</v>
      </c>
      <c r="J36" s="458">
        <f>VLOOKUP(B36,'[3]Chi thường xuyên 2026 (PL 05)'!$B$12:$P$163,5,FALSE)</f>
        <v>0</v>
      </c>
      <c r="K36" s="458">
        <f>VLOOKUP(B36,'[3]Chi thường xuyên 2026 (PL 05)'!$B$12:$P$163,4,FALSE)</f>
        <v>0</v>
      </c>
      <c r="L36" s="462"/>
      <c r="M36" s="462"/>
      <c r="N36" s="458">
        <f>VLOOKUP(B36,'[3]Chi thường xuyên 2026 (PL 05)'!$B$12:$P$163,3,FALSE)</f>
        <v>0</v>
      </c>
      <c r="O36" s="458">
        <f>VLOOKUP(B36,'[3]Chi thường xuyên 2026 (PL 05)'!$B$12:$P$163,12,FALSE)</f>
        <v>0</v>
      </c>
    </row>
    <row r="37" spans="1:15" s="460" customFormat="1">
      <c r="A37" s="457">
        <v>23</v>
      </c>
      <c r="B37" s="461" t="s">
        <v>793</v>
      </c>
      <c r="C37" s="458">
        <f t="shared" si="1"/>
        <v>93002</v>
      </c>
      <c r="D37" s="458">
        <f>VLOOKUP(B37,'[3]Chi thường xuyên 2026 (PL 05)'!$B$12:$P$163,6,FALSE)</f>
        <v>93002</v>
      </c>
      <c r="E37" s="458">
        <f>VLOOKUP(B37,'[3]Chi thường xuyên 2026 (PL 05)'!$B$12:$P$163,8,FALSE)</f>
        <v>0</v>
      </c>
      <c r="F37" s="458">
        <f>VLOOKUP(B37,'[3]Chi thường xuyên 2026 (PL 05)'!$B$12:$P$163,7,FALSE)</f>
        <v>0</v>
      </c>
      <c r="G37" s="458">
        <f>VLOOKUP(B37,'[3]Chi thường xuyên 2026 (PL 05)'!$B$12:$P$163,9,FALSE)</f>
        <v>0</v>
      </c>
      <c r="H37" s="458">
        <f>VLOOKUP(B37,'[3]Chi thường xuyên 2026 (PL 05)'!$B$12:$P$163,11,FALSE)</f>
        <v>0</v>
      </c>
      <c r="I37" s="458">
        <f>VLOOKUP(B37,'[3]Chi thường xuyên 2026 (PL 05)'!$B$12:$P$163,10,FALSE)</f>
        <v>0</v>
      </c>
      <c r="J37" s="458">
        <f>VLOOKUP(B37,'[3]Chi thường xuyên 2026 (PL 05)'!$B$12:$P$163,5,FALSE)</f>
        <v>0</v>
      </c>
      <c r="K37" s="458">
        <f>VLOOKUP(B37,'[3]Chi thường xuyên 2026 (PL 05)'!$B$12:$P$163,4,FALSE)</f>
        <v>0</v>
      </c>
      <c r="L37" s="462"/>
      <c r="M37" s="462"/>
      <c r="N37" s="458">
        <f>VLOOKUP(B37,'[3]Chi thường xuyên 2026 (PL 05)'!$B$12:$P$163,3,FALSE)</f>
        <v>0</v>
      </c>
      <c r="O37" s="458">
        <f>VLOOKUP(B37,'[3]Chi thường xuyên 2026 (PL 05)'!$B$12:$P$163,12,FALSE)</f>
        <v>0</v>
      </c>
    </row>
    <row r="38" spans="1:15" s="460" customFormat="1">
      <c r="A38" s="457">
        <v>24</v>
      </c>
      <c r="B38" s="461" t="s">
        <v>794</v>
      </c>
      <c r="C38" s="458">
        <f t="shared" si="1"/>
        <v>159045</v>
      </c>
      <c r="D38" s="458">
        <f>VLOOKUP(B38,'[3]Chi thường xuyên 2026 (PL 05)'!$B$12:$P$163,6,FALSE)</f>
        <v>159045</v>
      </c>
      <c r="E38" s="458">
        <f>VLOOKUP(B38,'[3]Chi thường xuyên 2026 (PL 05)'!$B$12:$P$163,8,FALSE)</f>
        <v>0</v>
      </c>
      <c r="F38" s="458">
        <f>VLOOKUP(B38,'[3]Chi thường xuyên 2026 (PL 05)'!$B$12:$P$163,7,FALSE)</f>
        <v>0</v>
      </c>
      <c r="G38" s="458">
        <f>VLOOKUP(B38,'[3]Chi thường xuyên 2026 (PL 05)'!$B$12:$P$163,9,FALSE)</f>
        <v>0</v>
      </c>
      <c r="H38" s="458">
        <f>VLOOKUP(B38,'[3]Chi thường xuyên 2026 (PL 05)'!$B$12:$P$163,11,FALSE)</f>
        <v>0</v>
      </c>
      <c r="I38" s="458">
        <f>VLOOKUP(B38,'[3]Chi thường xuyên 2026 (PL 05)'!$B$12:$P$163,10,FALSE)</f>
        <v>0</v>
      </c>
      <c r="J38" s="458">
        <f>VLOOKUP(B38,'[3]Chi thường xuyên 2026 (PL 05)'!$B$12:$P$163,5,FALSE)</f>
        <v>0</v>
      </c>
      <c r="K38" s="458">
        <f>VLOOKUP(B38,'[3]Chi thường xuyên 2026 (PL 05)'!$B$12:$P$163,4,FALSE)</f>
        <v>0</v>
      </c>
      <c r="L38" s="462"/>
      <c r="M38" s="462"/>
      <c r="N38" s="458">
        <f>VLOOKUP(B38,'[3]Chi thường xuyên 2026 (PL 05)'!$B$12:$P$163,3,FALSE)</f>
        <v>0</v>
      </c>
      <c r="O38" s="458">
        <f>VLOOKUP(B38,'[3]Chi thường xuyên 2026 (PL 05)'!$B$12:$P$163,12,FALSE)</f>
        <v>0</v>
      </c>
    </row>
    <row r="39" spans="1:15" s="460" customFormat="1" ht="25.5">
      <c r="A39" s="457">
        <v>25</v>
      </c>
      <c r="B39" s="461" t="s">
        <v>795</v>
      </c>
      <c r="C39" s="458">
        <f t="shared" si="1"/>
        <v>762</v>
      </c>
      <c r="D39" s="458">
        <f>VLOOKUP(B39,'[3]Chi thường xuyên 2026 (PL 05)'!$B$12:$P$163,6,FALSE)</f>
        <v>762</v>
      </c>
      <c r="E39" s="458">
        <f>VLOOKUP(B39,'[3]Chi thường xuyên 2026 (PL 05)'!$B$12:$P$163,8,FALSE)</f>
        <v>0</v>
      </c>
      <c r="F39" s="458">
        <f>VLOOKUP(B39,'[3]Chi thường xuyên 2026 (PL 05)'!$B$12:$P$163,7,FALSE)</f>
        <v>0</v>
      </c>
      <c r="G39" s="458">
        <f>VLOOKUP(B39,'[3]Chi thường xuyên 2026 (PL 05)'!$B$12:$P$163,9,FALSE)</f>
        <v>0</v>
      </c>
      <c r="H39" s="458">
        <f>VLOOKUP(B39,'[3]Chi thường xuyên 2026 (PL 05)'!$B$12:$P$163,11,FALSE)</f>
        <v>0</v>
      </c>
      <c r="I39" s="458">
        <f>VLOOKUP(B39,'[3]Chi thường xuyên 2026 (PL 05)'!$B$12:$P$163,10,FALSE)</f>
        <v>0</v>
      </c>
      <c r="J39" s="458">
        <f>VLOOKUP(B39,'[3]Chi thường xuyên 2026 (PL 05)'!$B$12:$P$163,5,FALSE)</f>
        <v>0</v>
      </c>
      <c r="K39" s="458">
        <f>VLOOKUP(B39,'[3]Chi thường xuyên 2026 (PL 05)'!$B$12:$P$163,4,FALSE)</f>
        <v>0</v>
      </c>
      <c r="L39" s="458"/>
      <c r="M39" s="458"/>
      <c r="N39" s="458">
        <f>VLOOKUP(B39,'[3]Chi thường xuyên 2026 (PL 05)'!$B$12:$P$163,3,FALSE)</f>
        <v>0</v>
      </c>
      <c r="O39" s="458">
        <f>VLOOKUP(B39,'[3]Chi thường xuyên 2026 (PL 05)'!$B$12:$P$163,12,FALSE)</f>
        <v>0</v>
      </c>
    </row>
    <row r="40" spans="1:15" s="460" customFormat="1">
      <c r="A40" s="457">
        <v>26</v>
      </c>
      <c r="B40" s="461" t="s">
        <v>796</v>
      </c>
      <c r="C40" s="458">
        <f t="shared" si="1"/>
        <v>10023</v>
      </c>
      <c r="D40" s="458">
        <f>VLOOKUP(B40,'[3]Chi thường xuyên 2026 (PL 05)'!$B$12:$P$163,6,FALSE)</f>
        <v>10023</v>
      </c>
      <c r="E40" s="458">
        <f>VLOOKUP(B40,'[3]Chi thường xuyên 2026 (PL 05)'!$B$12:$P$163,8,FALSE)</f>
        <v>0</v>
      </c>
      <c r="F40" s="458">
        <f>VLOOKUP(B40,'[3]Chi thường xuyên 2026 (PL 05)'!$B$12:$P$163,7,FALSE)</f>
        <v>0</v>
      </c>
      <c r="G40" s="458">
        <f>VLOOKUP(B40,'[3]Chi thường xuyên 2026 (PL 05)'!$B$12:$P$163,9,FALSE)</f>
        <v>0</v>
      </c>
      <c r="H40" s="458">
        <f>VLOOKUP(B40,'[3]Chi thường xuyên 2026 (PL 05)'!$B$12:$P$163,11,FALSE)</f>
        <v>0</v>
      </c>
      <c r="I40" s="458">
        <f>VLOOKUP(B40,'[3]Chi thường xuyên 2026 (PL 05)'!$B$12:$P$163,10,FALSE)</f>
        <v>0</v>
      </c>
      <c r="J40" s="458">
        <f>VLOOKUP(B40,'[3]Chi thường xuyên 2026 (PL 05)'!$B$12:$P$163,5,FALSE)</f>
        <v>0</v>
      </c>
      <c r="K40" s="458">
        <f>VLOOKUP(B40,'[3]Chi thường xuyên 2026 (PL 05)'!$B$12:$P$163,4,FALSE)</f>
        <v>0</v>
      </c>
      <c r="L40" s="462"/>
      <c r="M40" s="462"/>
      <c r="N40" s="458">
        <f>VLOOKUP(B40,'[3]Chi thường xuyên 2026 (PL 05)'!$B$12:$P$163,3,FALSE)</f>
        <v>0</v>
      </c>
      <c r="O40" s="458">
        <f>VLOOKUP(B40,'[3]Chi thường xuyên 2026 (PL 05)'!$B$12:$P$163,12,FALSE)</f>
        <v>0</v>
      </c>
    </row>
    <row r="41" spans="1:15" s="460" customFormat="1">
      <c r="A41" s="457">
        <v>27</v>
      </c>
      <c r="B41" s="461" t="s">
        <v>797</v>
      </c>
      <c r="C41" s="458">
        <f t="shared" si="1"/>
        <v>0</v>
      </c>
      <c r="D41" s="458">
        <f>VLOOKUP(B41,'[3]Chi thường xuyên 2026 (PL 05)'!$B$12:$P$163,6,FALSE)</f>
        <v>0</v>
      </c>
      <c r="E41" s="458">
        <f>VLOOKUP(B41,'[3]Chi thường xuyên 2026 (PL 05)'!$B$12:$P$163,8,FALSE)</f>
        <v>0</v>
      </c>
      <c r="F41" s="458">
        <f>VLOOKUP(B41,'[3]Chi thường xuyên 2026 (PL 05)'!$B$12:$P$163,7,FALSE)</f>
        <v>0</v>
      </c>
      <c r="G41" s="458">
        <f>VLOOKUP(B41,'[3]Chi thường xuyên 2026 (PL 05)'!$B$12:$P$163,9,FALSE)</f>
        <v>0</v>
      </c>
      <c r="H41" s="458">
        <f>VLOOKUP(B41,'[3]Chi thường xuyên 2026 (PL 05)'!$B$12:$P$163,11,FALSE)</f>
        <v>0</v>
      </c>
      <c r="I41" s="458">
        <f>VLOOKUP(B41,'[3]Chi thường xuyên 2026 (PL 05)'!$B$12:$P$163,10,FALSE)</f>
        <v>0</v>
      </c>
      <c r="J41" s="458">
        <f>VLOOKUP(B41,'[3]Chi thường xuyên 2026 (PL 05)'!$B$12:$P$163,5,FALSE)</f>
        <v>0</v>
      </c>
      <c r="K41" s="458">
        <f>VLOOKUP(B41,'[3]Chi thường xuyên 2026 (PL 05)'!$B$12:$P$163,4,FALSE)</f>
        <v>0</v>
      </c>
      <c r="L41" s="462"/>
      <c r="M41" s="462"/>
      <c r="N41" s="458">
        <f>VLOOKUP(B41,'[3]Chi thường xuyên 2026 (PL 05)'!$B$12:$P$163,3,FALSE)</f>
        <v>0</v>
      </c>
      <c r="O41" s="458">
        <f>VLOOKUP(B41,'[3]Chi thường xuyên 2026 (PL 05)'!$B$12:$P$163,12,FALSE)</f>
        <v>0</v>
      </c>
    </row>
    <row r="42" spans="1:15" s="460" customFormat="1">
      <c r="A42" s="457">
        <v>28</v>
      </c>
      <c r="B42" s="461" t="s">
        <v>253</v>
      </c>
      <c r="C42" s="458">
        <f t="shared" si="1"/>
        <v>0</v>
      </c>
      <c r="D42" s="458">
        <f>VLOOKUP(B42,'[3]Chi thường xuyên 2026 (PL 05)'!$B$12:$P$163,6,FALSE)</f>
        <v>0</v>
      </c>
      <c r="E42" s="458">
        <f>VLOOKUP(B42,'[3]Chi thường xuyên 2026 (PL 05)'!$B$12:$P$163,8,FALSE)</f>
        <v>0</v>
      </c>
      <c r="F42" s="458">
        <f>VLOOKUP(B42,'[3]Chi thường xuyên 2026 (PL 05)'!$B$12:$P$163,7,FALSE)</f>
        <v>0</v>
      </c>
      <c r="G42" s="458">
        <f>VLOOKUP(B42,'[3]Chi thường xuyên 2026 (PL 05)'!$B$12:$P$163,9,FALSE)</f>
        <v>0</v>
      </c>
      <c r="H42" s="458">
        <f>VLOOKUP(B42,'[3]Chi thường xuyên 2026 (PL 05)'!$B$12:$P$163,11,FALSE)</f>
        <v>0</v>
      </c>
      <c r="I42" s="458">
        <f>VLOOKUP(B42,'[3]Chi thường xuyên 2026 (PL 05)'!$B$12:$P$163,10,FALSE)</f>
        <v>0</v>
      </c>
      <c r="J42" s="458">
        <f>VLOOKUP(B42,'[3]Chi thường xuyên 2026 (PL 05)'!$B$12:$P$163,5,FALSE)</f>
        <v>0</v>
      </c>
      <c r="K42" s="458">
        <f>VLOOKUP(B42,'[3]Chi thường xuyên 2026 (PL 05)'!$B$12:$P$163,4,FALSE)</f>
        <v>0</v>
      </c>
      <c r="L42" s="462"/>
      <c r="M42" s="462"/>
      <c r="N42" s="458">
        <f>VLOOKUP(B42,'[3]Chi thường xuyên 2026 (PL 05)'!$B$12:$P$163,3,FALSE)</f>
        <v>0</v>
      </c>
      <c r="O42" s="458">
        <f>VLOOKUP(B42,'[3]Chi thường xuyên 2026 (PL 05)'!$B$12:$P$163,12,FALSE)</f>
        <v>0</v>
      </c>
    </row>
    <row r="43" spans="1:15" s="460" customFormat="1">
      <c r="A43" s="457">
        <v>29</v>
      </c>
      <c r="B43" s="461" t="s">
        <v>184</v>
      </c>
      <c r="C43" s="458">
        <f t="shared" si="1"/>
        <v>0</v>
      </c>
      <c r="D43" s="458">
        <f>VLOOKUP(B43,'[3]Chi thường xuyên 2026 (PL 05)'!$B$12:$P$163,6,FALSE)</f>
        <v>0</v>
      </c>
      <c r="E43" s="458">
        <f>VLOOKUP(B43,'[3]Chi thường xuyên 2026 (PL 05)'!$B$12:$P$163,8,FALSE)</f>
        <v>0</v>
      </c>
      <c r="F43" s="458">
        <f>VLOOKUP(B43,'[3]Chi thường xuyên 2026 (PL 05)'!$B$12:$P$163,7,FALSE)</f>
        <v>0</v>
      </c>
      <c r="G43" s="458">
        <f>VLOOKUP(B43,'[3]Chi thường xuyên 2026 (PL 05)'!$B$12:$P$163,9,FALSE)</f>
        <v>0</v>
      </c>
      <c r="H43" s="458">
        <f>VLOOKUP(B43,'[3]Chi thường xuyên 2026 (PL 05)'!$B$12:$P$163,11,FALSE)</f>
        <v>0</v>
      </c>
      <c r="I43" s="458">
        <f>VLOOKUP(B43,'[3]Chi thường xuyên 2026 (PL 05)'!$B$12:$P$163,10,FALSE)</f>
        <v>0</v>
      </c>
      <c r="J43" s="458">
        <f>VLOOKUP(B43,'[3]Chi thường xuyên 2026 (PL 05)'!$B$12:$P$163,5,FALSE)</f>
        <v>0</v>
      </c>
      <c r="K43" s="458">
        <f>VLOOKUP(B43,'[3]Chi thường xuyên 2026 (PL 05)'!$B$12:$P$163,4,FALSE)</f>
        <v>0</v>
      </c>
      <c r="L43" s="458"/>
      <c r="M43" s="458"/>
      <c r="N43" s="458">
        <f>VLOOKUP(B43,'[3]Chi thường xuyên 2026 (PL 05)'!$B$12:$P$163,3,FALSE)</f>
        <v>0</v>
      </c>
      <c r="O43" s="458">
        <f>VLOOKUP(B43,'[3]Chi thường xuyên 2026 (PL 05)'!$B$12:$P$163,12,FALSE)</f>
        <v>0</v>
      </c>
    </row>
    <row r="44" spans="1:15" s="460" customFormat="1">
      <c r="A44" s="457">
        <v>30</v>
      </c>
      <c r="B44" s="461" t="s">
        <v>798</v>
      </c>
      <c r="C44" s="458">
        <f t="shared" si="1"/>
        <v>0</v>
      </c>
      <c r="D44" s="458">
        <f>VLOOKUP(B44,'[3]Chi thường xuyên 2026 (PL 05)'!$B$12:$P$163,6,FALSE)</f>
        <v>0</v>
      </c>
      <c r="E44" s="458">
        <f>VLOOKUP(B44,'[3]Chi thường xuyên 2026 (PL 05)'!$B$12:$P$163,8,FALSE)</f>
        <v>0</v>
      </c>
      <c r="F44" s="458">
        <f>VLOOKUP(B44,'[3]Chi thường xuyên 2026 (PL 05)'!$B$12:$P$163,7,FALSE)</f>
        <v>0</v>
      </c>
      <c r="G44" s="458">
        <f>VLOOKUP(B44,'[3]Chi thường xuyên 2026 (PL 05)'!$B$12:$P$163,9,FALSE)</f>
        <v>0</v>
      </c>
      <c r="H44" s="458">
        <f>VLOOKUP(B44,'[3]Chi thường xuyên 2026 (PL 05)'!$B$12:$P$163,11,FALSE)</f>
        <v>0</v>
      </c>
      <c r="I44" s="458">
        <f>VLOOKUP(B44,'[3]Chi thường xuyên 2026 (PL 05)'!$B$12:$P$163,10,FALSE)</f>
        <v>0</v>
      </c>
      <c r="J44" s="458">
        <f>VLOOKUP(B44,'[3]Chi thường xuyên 2026 (PL 05)'!$B$12:$P$163,5,FALSE)</f>
        <v>0</v>
      </c>
      <c r="K44" s="458">
        <f>VLOOKUP(B44,'[3]Chi thường xuyên 2026 (PL 05)'!$B$12:$P$163,4,FALSE)</f>
        <v>0</v>
      </c>
      <c r="L44" s="462"/>
      <c r="M44" s="462"/>
      <c r="N44" s="458">
        <f>VLOOKUP(B44,'[3]Chi thường xuyên 2026 (PL 05)'!$B$12:$P$163,3,FALSE)</f>
        <v>0</v>
      </c>
      <c r="O44" s="458">
        <f>VLOOKUP(B44,'[3]Chi thường xuyên 2026 (PL 05)'!$B$12:$P$163,12,FALSE)</f>
        <v>0</v>
      </c>
    </row>
    <row r="45" spans="1:15" s="460" customFormat="1">
      <c r="A45" s="457">
        <v>31</v>
      </c>
      <c r="B45" s="461" t="s">
        <v>799</v>
      </c>
      <c r="C45" s="458">
        <f t="shared" si="1"/>
        <v>0</v>
      </c>
      <c r="D45" s="458">
        <f>VLOOKUP(B45,'[3]Chi thường xuyên 2026 (PL 05)'!$B$12:$P$163,6,FALSE)</f>
        <v>0</v>
      </c>
      <c r="E45" s="458">
        <f>VLOOKUP(B45,'[3]Chi thường xuyên 2026 (PL 05)'!$B$12:$P$163,8,FALSE)</f>
        <v>0</v>
      </c>
      <c r="F45" s="458">
        <f>VLOOKUP(B45,'[3]Chi thường xuyên 2026 (PL 05)'!$B$12:$P$163,7,FALSE)</f>
        <v>0</v>
      </c>
      <c r="G45" s="458">
        <f>VLOOKUP(B45,'[3]Chi thường xuyên 2026 (PL 05)'!$B$12:$P$163,9,FALSE)</f>
        <v>0</v>
      </c>
      <c r="H45" s="458">
        <f>VLOOKUP(B45,'[3]Chi thường xuyên 2026 (PL 05)'!$B$12:$P$163,11,FALSE)</f>
        <v>0</v>
      </c>
      <c r="I45" s="458">
        <f>VLOOKUP(B45,'[3]Chi thường xuyên 2026 (PL 05)'!$B$12:$P$163,10,FALSE)</f>
        <v>0</v>
      </c>
      <c r="J45" s="458">
        <f>VLOOKUP(B45,'[3]Chi thường xuyên 2026 (PL 05)'!$B$12:$P$163,5,FALSE)</f>
        <v>0</v>
      </c>
      <c r="K45" s="458">
        <f>VLOOKUP(B45,'[3]Chi thường xuyên 2026 (PL 05)'!$B$12:$P$163,4,FALSE)</f>
        <v>0</v>
      </c>
      <c r="L45" s="462"/>
      <c r="M45" s="462"/>
      <c r="N45" s="458">
        <f>VLOOKUP(B45,'[3]Chi thường xuyên 2026 (PL 05)'!$B$12:$P$163,3,FALSE)</f>
        <v>0</v>
      </c>
      <c r="O45" s="458">
        <f>VLOOKUP(B45,'[3]Chi thường xuyên 2026 (PL 05)'!$B$12:$P$163,12,FALSE)</f>
        <v>0</v>
      </c>
    </row>
    <row r="46" spans="1:15" s="460" customFormat="1">
      <c r="A46" s="457">
        <v>32</v>
      </c>
      <c r="B46" s="461" t="s">
        <v>800</v>
      </c>
      <c r="C46" s="458">
        <f t="shared" si="1"/>
        <v>0</v>
      </c>
      <c r="D46" s="458">
        <f>VLOOKUP(B46,'[3]Chi thường xuyên 2026 (PL 05)'!$B$12:$P$163,6,FALSE)</f>
        <v>0</v>
      </c>
      <c r="E46" s="458">
        <f>VLOOKUP(B46,'[3]Chi thường xuyên 2026 (PL 05)'!$B$12:$P$163,8,FALSE)</f>
        <v>0</v>
      </c>
      <c r="F46" s="458">
        <f>VLOOKUP(B46,'[3]Chi thường xuyên 2026 (PL 05)'!$B$12:$P$163,7,FALSE)</f>
        <v>0</v>
      </c>
      <c r="G46" s="458">
        <f>VLOOKUP(B46,'[3]Chi thường xuyên 2026 (PL 05)'!$B$12:$P$163,9,FALSE)</f>
        <v>0</v>
      </c>
      <c r="H46" s="458">
        <f>VLOOKUP(B46,'[3]Chi thường xuyên 2026 (PL 05)'!$B$12:$P$163,11,FALSE)</f>
        <v>0</v>
      </c>
      <c r="I46" s="458">
        <f>VLOOKUP(B46,'[3]Chi thường xuyên 2026 (PL 05)'!$B$12:$P$163,10,FALSE)</f>
        <v>0</v>
      </c>
      <c r="J46" s="458">
        <f>VLOOKUP(B46,'[3]Chi thường xuyên 2026 (PL 05)'!$B$12:$P$163,5,FALSE)</f>
        <v>0</v>
      </c>
      <c r="K46" s="458">
        <f>VLOOKUP(B46,'[3]Chi thường xuyên 2026 (PL 05)'!$B$12:$P$163,4,FALSE)</f>
        <v>0</v>
      </c>
      <c r="L46" s="462"/>
      <c r="M46" s="462"/>
      <c r="N46" s="458">
        <f>VLOOKUP(B46,'[3]Chi thường xuyên 2026 (PL 05)'!$B$12:$P$163,3,FALSE)</f>
        <v>0</v>
      </c>
      <c r="O46" s="458">
        <f>VLOOKUP(B46,'[3]Chi thường xuyên 2026 (PL 05)'!$B$12:$P$163,12,FALSE)</f>
        <v>0</v>
      </c>
    </row>
    <row r="47" spans="1:15" s="460" customFormat="1">
      <c r="A47" s="457">
        <v>33</v>
      </c>
      <c r="B47" s="461" t="s">
        <v>801</v>
      </c>
      <c r="C47" s="458">
        <f t="shared" si="1"/>
        <v>0</v>
      </c>
      <c r="D47" s="458">
        <f>VLOOKUP(B47,'[3]Chi thường xuyên 2026 (PL 05)'!$B$12:$P$163,6,FALSE)</f>
        <v>0</v>
      </c>
      <c r="E47" s="458">
        <f>VLOOKUP(B47,'[3]Chi thường xuyên 2026 (PL 05)'!$B$12:$P$163,8,FALSE)</f>
        <v>0</v>
      </c>
      <c r="F47" s="458">
        <f>VLOOKUP(B47,'[3]Chi thường xuyên 2026 (PL 05)'!$B$12:$P$163,7,FALSE)</f>
        <v>0</v>
      </c>
      <c r="G47" s="458">
        <f>VLOOKUP(B47,'[3]Chi thường xuyên 2026 (PL 05)'!$B$12:$P$163,9,FALSE)</f>
        <v>0</v>
      </c>
      <c r="H47" s="458">
        <f>VLOOKUP(B47,'[3]Chi thường xuyên 2026 (PL 05)'!$B$12:$P$163,11,FALSE)</f>
        <v>0</v>
      </c>
      <c r="I47" s="458">
        <f>VLOOKUP(B47,'[3]Chi thường xuyên 2026 (PL 05)'!$B$12:$P$163,10,FALSE)</f>
        <v>0</v>
      </c>
      <c r="J47" s="458">
        <f>VLOOKUP(B47,'[3]Chi thường xuyên 2026 (PL 05)'!$B$12:$P$163,5,FALSE)</f>
        <v>0</v>
      </c>
      <c r="K47" s="458">
        <f>VLOOKUP(B47,'[3]Chi thường xuyên 2026 (PL 05)'!$B$12:$P$163,4,FALSE)</f>
        <v>0</v>
      </c>
      <c r="L47" s="462"/>
      <c r="M47" s="462"/>
      <c r="N47" s="458">
        <f>VLOOKUP(B47,'[3]Chi thường xuyên 2026 (PL 05)'!$B$12:$P$163,3,FALSE)</f>
        <v>0</v>
      </c>
      <c r="O47" s="458">
        <f>VLOOKUP(B47,'[3]Chi thường xuyên 2026 (PL 05)'!$B$12:$P$163,12,FALSE)</f>
        <v>0</v>
      </c>
    </row>
    <row r="48" spans="1:15" s="460" customFormat="1">
      <c r="A48" s="457">
        <v>34</v>
      </c>
      <c r="B48" s="461" t="s">
        <v>802</v>
      </c>
      <c r="C48" s="458">
        <f t="shared" si="1"/>
        <v>0</v>
      </c>
      <c r="D48" s="458">
        <f>VLOOKUP(B48,'[3]Chi thường xuyên 2026 (PL 05)'!$B$12:$P$163,6,FALSE)</f>
        <v>0</v>
      </c>
      <c r="E48" s="458">
        <f>VLOOKUP(B48,'[3]Chi thường xuyên 2026 (PL 05)'!$B$12:$P$163,8,FALSE)</f>
        <v>0</v>
      </c>
      <c r="F48" s="458">
        <f>VLOOKUP(B48,'[3]Chi thường xuyên 2026 (PL 05)'!$B$12:$P$163,7,FALSE)</f>
        <v>0</v>
      </c>
      <c r="G48" s="458">
        <f>VLOOKUP(B48,'[3]Chi thường xuyên 2026 (PL 05)'!$B$12:$P$163,9,FALSE)</f>
        <v>0</v>
      </c>
      <c r="H48" s="458">
        <f>VLOOKUP(B48,'[3]Chi thường xuyên 2026 (PL 05)'!$B$12:$P$163,11,FALSE)</f>
        <v>0</v>
      </c>
      <c r="I48" s="458">
        <f>VLOOKUP(B48,'[3]Chi thường xuyên 2026 (PL 05)'!$B$12:$P$163,10,FALSE)</f>
        <v>0</v>
      </c>
      <c r="J48" s="458">
        <f>VLOOKUP(B48,'[3]Chi thường xuyên 2026 (PL 05)'!$B$12:$P$163,5,FALSE)</f>
        <v>0</v>
      </c>
      <c r="K48" s="458">
        <f>VLOOKUP(B48,'[3]Chi thường xuyên 2026 (PL 05)'!$B$12:$P$163,4,FALSE)</f>
        <v>0</v>
      </c>
      <c r="L48" s="462"/>
      <c r="M48" s="462"/>
      <c r="N48" s="458">
        <f>VLOOKUP(B48,'[3]Chi thường xuyên 2026 (PL 05)'!$B$12:$P$163,3,FALSE)</f>
        <v>0</v>
      </c>
      <c r="O48" s="458">
        <f>VLOOKUP(B48,'[3]Chi thường xuyên 2026 (PL 05)'!$B$12:$P$163,12,FALSE)</f>
        <v>0</v>
      </c>
    </row>
    <row r="49" spans="1:16" s="460" customFormat="1" ht="25.5">
      <c r="A49" s="457">
        <v>35</v>
      </c>
      <c r="B49" s="461" t="s">
        <v>81</v>
      </c>
      <c r="C49" s="458">
        <f t="shared" si="1"/>
        <v>3954635.9000000004</v>
      </c>
      <c r="D49" s="458">
        <f>VLOOKUP(B49,'[3]Chi thường xuyên 2026 (PL 05)'!$B$12:$P$163,6,FALSE)</f>
        <v>1616674.4000000001</v>
      </c>
      <c r="E49" s="458">
        <f>VLOOKUP(B49,'[3]Chi thường xuyên 2026 (PL 05)'!$B$12:$P$163,8,FALSE)</f>
        <v>132864</v>
      </c>
      <c r="F49" s="458">
        <f>VLOOKUP(B49,'[3]Chi thường xuyên 2026 (PL 05)'!$B$12:$P$163,7,FALSE)</f>
        <v>1143885.5</v>
      </c>
      <c r="G49" s="458">
        <f>VLOOKUP(B49,'[3]Chi thường xuyên 2026 (PL 05)'!$B$12:$P$163,9,FALSE)</f>
        <v>50000</v>
      </c>
      <c r="H49" s="458">
        <f>VLOOKUP(B49,'[3]Chi thường xuyên 2026 (PL 05)'!$B$12:$P$163,11,FALSE)</f>
        <v>0</v>
      </c>
      <c r="I49" s="458">
        <f>VLOOKUP(B49,'[3]Chi thường xuyên 2026 (PL 05)'!$B$12:$P$163,10,FALSE)</f>
        <v>0</v>
      </c>
      <c r="J49" s="458">
        <f>VLOOKUP(B49,'[3]Chi thường xuyên 2026 (PL 05)'!$B$12:$P$163,5,FALSE)</f>
        <v>0</v>
      </c>
      <c r="K49" s="458">
        <f>VLOOKUP(B49,'[3]Chi thường xuyên 2026 (PL 05)'!$B$12:$P$163,4,FALSE)</f>
        <v>282419</v>
      </c>
      <c r="L49" s="462"/>
      <c r="M49" s="462"/>
      <c r="N49" s="458">
        <f>VLOOKUP(B49,'[3]Chi thường xuyên 2026 (PL 05)'!$B$12:$P$163,3,FALSE)</f>
        <v>149100</v>
      </c>
      <c r="O49" s="458">
        <f>VLOOKUP(B49,'[3]Chi thường xuyên 2026 (PL 05)'!$B$12:$P$163,12,FALSE)</f>
        <v>579693</v>
      </c>
      <c r="P49" s="459"/>
    </row>
    <row r="50" spans="1:16">
      <c r="P50" s="540"/>
    </row>
    <row r="51" spans="1:16">
      <c r="P51" s="540"/>
    </row>
  </sheetData>
  <mergeCells count="23">
    <mergeCell ref="A1:B1"/>
    <mergeCell ref="C8:C12"/>
    <mergeCell ref="K9:K12"/>
    <mergeCell ref="A3:O3"/>
    <mergeCell ref="A5:O5"/>
    <mergeCell ref="A8:A12"/>
    <mergeCell ref="N9:N12"/>
    <mergeCell ref="M1:O1"/>
    <mergeCell ref="D8:O8"/>
    <mergeCell ref="L10:L12"/>
    <mergeCell ref="M10:M12"/>
    <mergeCell ref="K7:O7"/>
    <mergeCell ref="A4:O4"/>
    <mergeCell ref="O9:O12"/>
    <mergeCell ref="B8:B12"/>
    <mergeCell ref="H9:H12"/>
    <mergeCell ref="L9:M9"/>
    <mergeCell ref="J9:J12"/>
    <mergeCell ref="D9:D12"/>
    <mergeCell ref="E9:E12"/>
    <mergeCell ref="F9:F12"/>
    <mergeCell ref="G9:G12"/>
    <mergeCell ref="I9:I12"/>
  </mergeCells>
  <phoneticPr fontId="5" type="noConversion"/>
  <printOptions horizontalCentered="1"/>
  <pageMargins left="0" right="0" top="0.511811023622047" bottom="0.43307086614173201" header="0.511811023622047" footer="0.23622047244094499"/>
  <pageSetup paperSize="9" scale="8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I109"/>
  <sheetViews>
    <sheetView workbookViewId="0">
      <selection activeCell="F11" sqref="F11"/>
    </sheetView>
  </sheetViews>
  <sheetFormatPr defaultColWidth="9.140625" defaultRowHeight="12.75"/>
  <cols>
    <col min="1" max="1" width="5.42578125" style="96" customWidth="1"/>
    <col min="2" max="2" width="27.28515625" style="96" customWidth="1"/>
    <col min="3" max="3" width="10.7109375" style="103" customWidth="1"/>
    <col min="4" max="4" width="11.42578125" style="103" customWidth="1"/>
    <col min="5" max="6" width="9.5703125" style="103" customWidth="1"/>
    <col min="7" max="7" width="8.7109375" style="103" customWidth="1"/>
    <col min="8" max="8" width="10.42578125" style="103" customWidth="1"/>
    <col min="9" max="16384" width="9.140625" style="96"/>
  </cols>
  <sheetData>
    <row r="1" spans="1:9" ht="16.5">
      <c r="A1" s="766" t="s">
        <v>1629</v>
      </c>
      <c r="B1" s="766"/>
      <c r="C1" s="95"/>
      <c r="D1" s="95"/>
      <c r="E1" s="95"/>
      <c r="F1" s="764" t="s">
        <v>379</v>
      </c>
      <c r="G1" s="764"/>
      <c r="H1" s="764"/>
    </row>
    <row r="3" spans="1:9" s="97" customFormat="1" ht="19.149999999999999" customHeight="1">
      <c r="A3" s="765" t="s">
        <v>146</v>
      </c>
      <c r="B3" s="765"/>
      <c r="C3" s="765"/>
      <c r="D3" s="765"/>
      <c r="E3" s="765"/>
      <c r="F3" s="765"/>
      <c r="G3" s="765"/>
      <c r="H3" s="765"/>
    </row>
    <row r="4" spans="1:9" s="97" customFormat="1" ht="19.149999999999999" customHeight="1">
      <c r="A4" s="765" t="s">
        <v>1634</v>
      </c>
      <c r="B4" s="765"/>
      <c r="C4" s="765"/>
      <c r="D4" s="765"/>
      <c r="E4" s="765"/>
      <c r="F4" s="765"/>
      <c r="G4" s="765"/>
      <c r="H4" s="765"/>
    </row>
    <row r="5" spans="1:9" s="94" customFormat="1" ht="18.75">
      <c r="A5" s="767" t="s">
        <v>147</v>
      </c>
      <c r="B5" s="767"/>
      <c r="C5" s="767"/>
      <c r="D5" s="767"/>
      <c r="E5" s="767"/>
      <c r="F5" s="767"/>
      <c r="G5" s="767"/>
      <c r="H5" s="767"/>
      <c r="I5" s="98"/>
    </row>
    <row r="6" spans="1:9" s="99" customFormat="1" ht="18.75">
      <c r="B6" s="100"/>
      <c r="C6" s="100"/>
      <c r="D6" s="100"/>
      <c r="E6" s="100"/>
      <c r="F6" s="100"/>
      <c r="G6" s="100"/>
      <c r="H6" s="100"/>
    </row>
    <row r="7" spans="1:9" ht="15.75">
      <c r="A7" s="101"/>
      <c r="B7" s="101"/>
      <c r="C7" s="23"/>
      <c r="D7" s="26"/>
      <c r="E7" s="26"/>
      <c r="F7" s="763" t="s">
        <v>316</v>
      </c>
      <c r="G7" s="763"/>
      <c r="H7" s="763"/>
    </row>
    <row r="8" spans="1:9" s="102" customFormat="1" ht="28.15" customHeight="1">
      <c r="A8" s="768" t="s">
        <v>65</v>
      </c>
      <c r="B8" s="768" t="s">
        <v>3</v>
      </c>
      <c r="C8" s="760" t="s">
        <v>315</v>
      </c>
      <c r="D8" s="761"/>
      <c r="E8" s="761"/>
      <c r="F8" s="761"/>
      <c r="G8" s="761"/>
      <c r="H8" s="762"/>
    </row>
    <row r="9" spans="1:9" s="102" customFormat="1" ht="161.44999999999999" customHeight="1">
      <c r="A9" s="768"/>
      <c r="B9" s="768"/>
      <c r="C9" s="24" t="s">
        <v>902</v>
      </c>
      <c r="D9" s="24" t="s">
        <v>903</v>
      </c>
      <c r="E9" s="24" t="s">
        <v>904</v>
      </c>
      <c r="F9" s="24" t="s">
        <v>60</v>
      </c>
      <c r="G9" s="24" t="s">
        <v>100</v>
      </c>
      <c r="H9" s="24" t="s">
        <v>50</v>
      </c>
    </row>
    <row r="10" spans="1:9" ht="15.75">
      <c r="A10" s="16" t="s">
        <v>55</v>
      </c>
      <c r="B10" s="16" t="s">
        <v>56</v>
      </c>
      <c r="C10" s="9">
        <v>1</v>
      </c>
      <c r="D10" s="9">
        <v>2</v>
      </c>
      <c r="E10" s="9">
        <v>3</v>
      </c>
      <c r="F10" s="9">
        <v>4</v>
      </c>
      <c r="G10" s="9">
        <v>5</v>
      </c>
      <c r="H10" s="9">
        <v>6</v>
      </c>
    </row>
    <row r="11" spans="1:9" s="11" customFormat="1" ht="24" customHeight="1">
      <c r="A11" s="541">
        <v>1</v>
      </c>
      <c r="B11" s="542" t="s">
        <v>803</v>
      </c>
      <c r="C11" s="25">
        <v>0.3</v>
      </c>
      <c r="D11" s="25">
        <v>0.3</v>
      </c>
      <c r="E11" s="25">
        <v>0.3</v>
      </c>
      <c r="F11" s="25">
        <v>0.3</v>
      </c>
      <c r="G11" s="25">
        <v>0.5</v>
      </c>
      <c r="H11" s="25">
        <v>0.05</v>
      </c>
      <c r="I11" s="10"/>
    </row>
    <row r="12" spans="1:9" s="11" customFormat="1" ht="24" customHeight="1">
      <c r="A12" s="541">
        <v>2</v>
      </c>
      <c r="B12" s="542" t="s">
        <v>804</v>
      </c>
      <c r="C12" s="25">
        <v>0.06</v>
      </c>
      <c r="D12" s="25">
        <v>0.06</v>
      </c>
      <c r="E12" s="25">
        <v>0.06</v>
      </c>
      <c r="F12" s="25">
        <v>0.5</v>
      </c>
      <c r="G12" s="25">
        <v>0.5</v>
      </c>
      <c r="H12" s="25">
        <v>0.05</v>
      </c>
      <c r="I12" s="10"/>
    </row>
    <row r="13" spans="1:9" s="11" customFormat="1" ht="24" customHeight="1">
      <c r="A13" s="541">
        <v>3</v>
      </c>
      <c r="B13" s="542" t="s">
        <v>805</v>
      </c>
      <c r="C13" s="25">
        <v>0.3</v>
      </c>
      <c r="D13" s="25">
        <v>0.3</v>
      </c>
      <c r="E13" s="25">
        <v>0.3</v>
      </c>
      <c r="F13" s="25">
        <v>0.5</v>
      </c>
      <c r="G13" s="25">
        <v>0.5</v>
      </c>
      <c r="H13" s="25">
        <v>0.05</v>
      </c>
      <c r="I13" s="10"/>
    </row>
    <row r="14" spans="1:9" s="11" customFormat="1" ht="24" customHeight="1">
      <c r="A14" s="541">
        <v>4</v>
      </c>
      <c r="B14" s="542" t="s">
        <v>806</v>
      </c>
      <c r="C14" s="25">
        <v>0.3</v>
      </c>
      <c r="D14" s="25">
        <v>0.3</v>
      </c>
      <c r="E14" s="25">
        <v>0.3</v>
      </c>
      <c r="F14" s="25">
        <v>0.5</v>
      </c>
      <c r="G14" s="25">
        <v>0.5</v>
      </c>
      <c r="H14" s="25">
        <v>0.05</v>
      </c>
      <c r="I14" s="10"/>
    </row>
    <row r="15" spans="1:9" s="11" customFormat="1" ht="24" customHeight="1">
      <c r="A15" s="541">
        <v>5</v>
      </c>
      <c r="B15" s="542" t="s">
        <v>807</v>
      </c>
      <c r="C15" s="25">
        <v>0.3</v>
      </c>
      <c r="D15" s="25">
        <v>0.3</v>
      </c>
      <c r="E15" s="25">
        <v>0.3</v>
      </c>
      <c r="F15" s="25">
        <v>0.5</v>
      </c>
      <c r="G15" s="25">
        <v>0.5</v>
      </c>
      <c r="H15" s="25">
        <v>0.05</v>
      </c>
      <c r="I15" s="10"/>
    </row>
    <row r="16" spans="1:9" s="11" customFormat="1" ht="24" customHeight="1">
      <c r="A16" s="541">
        <v>6</v>
      </c>
      <c r="B16" s="542" t="s">
        <v>808</v>
      </c>
      <c r="C16" s="25">
        <v>0.3</v>
      </c>
      <c r="D16" s="25">
        <v>0.3</v>
      </c>
      <c r="E16" s="25">
        <v>0.3</v>
      </c>
      <c r="F16" s="25">
        <v>0.5</v>
      </c>
      <c r="G16" s="25">
        <v>0.5</v>
      </c>
      <c r="H16" s="25">
        <v>0.05</v>
      </c>
      <c r="I16" s="10"/>
    </row>
    <row r="17" spans="1:9" s="11" customFormat="1" ht="24" customHeight="1">
      <c r="A17" s="541">
        <v>7</v>
      </c>
      <c r="B17" s="542" t="s">
        <v>809</v>
      </c>
      <c r="C17" s="25">
        <v>0.25</v>
      </c>
      <c r="D17" s="25">
        <v>0.25</v>
      </c>
      <c r="E17" s="25">
        <v>0.25</v>
      </c>
      <c r="F17" s="25">
        <v>0.6</v>
      </c>
      <c r="G17" s="25">
        <v>0.5</v>
      </c>
      <c r="H17" s="25">
        <v>0.05</v>
      </c>
      <c r="I17" s="10"/>
    </row>
    <row r="18" spans="1:9" s="11" customFormat="1" ht="24" customHeight="1">
      <c r="A18" s="541">
        <v>8</v>
      </c>
      <c r="B18" s="542" t="s">
        <v>810</v>
      </c>
      <c r="C18" s="25">
        <v>0.3</v>
      </c>
      <c r="D18" s="25">
        <v>0.3</v>
      </c>
      <c r="E18" s="25">
        <v>0.3</v>
      </c>
      <c r="F18" s="25">
        <v>0.5</v>
      </c>
      <c r="G18" s="25">
        <v>0.5</v>
      </c>
      <c r="H18" s="25">
        <v>0.05</v>
      </c>
      <c r="I18" s="10"/>
    </row>
    <row r="19" spans="1:9" s="11" customFormat="1" ht="24" customHeight="1">
      <c r="A19" s="541">
        <v>9</v>
      </c>
      <c r="B19" s="542" t="s">
        <v>811</v>
      </c>
      <c r="C19" s="25">
        <v>0.3</v>
      </c>
      <c r="D19" s="25">
        <v>0.3</v>
      </c>
      <c r="E19" s="25">
        <v>0.3</v>
      </c>
      <c r="F19" s="25">
        <v>0.5</v>
      </c>
      <c r="G19" s="25">
        <v>0.5</v>
      </c>
      <c r="H19" s="25">
        <v>0.05</v>
      </c>
      <c r="I19" s="10"/>
    </row>
    <row r="20" spans="1:9" ht="18.75">
      <c r="A20" s="541">
        <v>10</v>
      </c>
      <c r="B20" s="542" t="s">
        <v>812</v>
      </c>
      <c r="C20" s="25">
        <v>0.3</v>
      </c>
      <c r="D20" s="25">
        <v>0.3</v>
      </c>
      <c r="E20" s="25">
        <v>0.3</v>
      </c>
      <c r="F20" s="25">
        <v>0.5</v>
      </c>
      <c r="G20" s="25">
        <v>0.5</v>
      </c>
      <c r="H20" s="25">
        <v>0.05</v>
      </c>
    </row>
    <row r="21" spans="1:9" ht="18.75">
      <c r="A21" s="541">
        <v>11</v>
      </c>
      <c r="B21" s="542" t="s">
        <v>813</v>
      </c>
      <c r="C21" s="25">
        <v>0.3</v>
      </c>
      <c r="D21" s="25">
        <v>0.3</v>
      </c>
      <c r="E21" s="25">
        <v>0.3</v>
      </c>
      <c r="F21" s="25">
        <v>0.5</v>
      </c>
      <c r="G21" s="25">
        <v>0.5</v>
      </c>
      <c r="H21" s="25">
        <v>0.05</v>
      </c>
    </row>
    <row r="22" spans="1:9" ht="18.75">
      <c r="A22" s="541">
        <v>12</v>
      </c>
      <c r="B22" s="542" t="s">
        <v>814</v>
      </c>
      <c r="C22" s="25">
        <v>0.3</v>
      </c>
      <c r="D22" s="25">
        <v>0.3</v>
      </c>
      <c r="E22" s="25">
        <v>0.3</v>
      </c>
      <c r="F22" s="25">
        <v>0.5</v>
      </c>
      <c r="G22" s="25">
        <v>0.5</v>
      </c>
      <c r="H22" s="25">
        <v>0.05</v>
      </c>
    </row>
    <row r="23" spans="1:9" ht="18.75">
      <c r="A23" s="541">
        <v>13</v>
      </c>
      <c r="B23" s="542" t="s">
        <v>815</v>
      </c>
      <c r="C23" s="552">
        <v>0.2</v>
      </c>
      <c r="D23" s="552">
        <v>0.2</v>
      </c>
      <c r="E23" s="552">
        <v>0.2</v>
      </c>
      <c r="F23" s="25">
        <v>0.1</v>
      </c>
      <c r="G23" s="25">
        <v>0.5</v>
      </c>
      <c r="H23" s="25">
        <v>0.05</v>
      </c>
    </row>
    <row r="24" spans="1:9" ht="18.75">
      <c r="A24" s="541">
        <v>14</v>
      </c>
      <c r="B24" s="542" t="s">
        <v>816</v>
      </c>
      <c r="C24" s="552">
        <v>0.3</v>
      </c>
      <c r="D24" s="552">
        <v>0.3</v>
      </c>
      <c r="E24" s="552">
        <v>0.3</v>
      </c>
      <c r="F24" s="25">
        <v>0.5</v>
      </c>
      <c r="G24" s="25">
        <v>0.5</v>
      </c>
      <c r="H24" s="25">
        <v>0.05</v>
      </c>
    </row>
    <row r="25" spans="1:9" ht="18.75">
      <c r="A25" s="541">
        <v>15</v>
      </c>
      <c r="B25" s="542" t="s">
        <v>817</v>
      </c>
      <c r="C25" s="552">
        <v>0.5</v>
      </c>
      <c r="D25" s="552">
        <v>0.5</v>
      </c>
      <c r="E25" s="552">
        <v>0.5</v>
      </c>
      <c r="F25" s="25">
        <v>0.5</v>
      </c>
      <c r="G25" s="25">
        <v>0.5</v>
      </c>
      <c r="H25" s="25">
        <v>0.05</v>
      </c>
    </row>
    <row r="26" spans="1:9" ht="18.75">
      <c r="A26" s="541">
        <v>16</v>
      </c>
      <c r="B26" s="542" t="s">
        <v>818</v>
      </c>
      <c r="C26" s="552">
        <v>0.5</v>
      </c>
      <c r="D26" s="552">
        <v>0.5</v>
      </c>
      <c r="E26" s="552">
        <v>0.5</v>
      </c>
      <c r="F26" s="25">
        <v>0.5</v>
      </c>
      <c r="G26" s="25">
        <v>0.5</v>
      </c>
      <c r="H26" s="25">
        <v>0.05</v>
      </c>
    </row>
    <row r="27" spans="1:9" ht="18.75">
      <c r="A27" s="541">
        <v>17</v>
      </c>
      <c r="B27" s="542" t="s">
        <v>819</v>
      </c>
      <c r="C27" s="552">
        <v>0.3</v>
      </c>
      <c r="D27" s="552">
        <v>0.3</v>
      </c>
      <c r="E27" s="552">
        <v>0.3</v>
      </c>
      <c r="F27" s="25">
        <v>0.5</v>
      </c>
      <c r="G27" s="25">
        <v>0.5</v>
      </c>
      <c r="H27" s="25">
        <v>0.05</v>
      </c>
    </row>
    <row r="28" spans="1:9" ht="18.75">
      <c r="A28" s="541">
        <v>18</v>
      </c>
      <c r="B28" s="542" t="s">
        <v>820</v>
      </c>
      <c r="C28" s="552">
        <v>0.3</v>
      </c>
      <c r="D28" s="552">
        <v>0.3</v>
      </c>
      <c r="E28" s="552">
        <v>0.3</v>
      </c>
      <c r="F28" s="25">
        <v>0.5</v>
      </c>
      <c r="G28" s="25">
        <v>0.5</v>
      </c>
      <c r="H28" s="25">
        <v>0.05</v>
      </c>
    </row>
    <row r="29" spans="1:9" ht="18.75">
      <c r="A29" s="541">
        <v>19</v>
      </c>
      <c r="B29" s="542" t="s">
        <v>821</v>
      </c>
      <c r="C29" s="552">
        <v>0.3</v>
      </c>
      <c r="D29" s="552">
        <v>0.3</v>
      </c>
      <c r="E29" s="552">
        <v>0.3</v>
      </c>
      <c r="F29" s="25">
        <v>0.5</v>
      </c>
      <c r="G29" s="25">
        <v>0.5</v>
      </c>
      <c r="H29" s="25">
        <v>0.05</v>
      </c>
    </row>
    <row r="30" spans="1:9" ht="18.75">
      <c r="A30" s="541">
        <v>20</v>
      </c>
      <c r="B30" s="542" t="s">
        <v>822</v>
      </c>
      <c r="C30" s="552">
        <v>0.3</v>
      </c>
      <c r="D30" s="552">
        <v>0.3</v>
      </c>
      <c r="E30" s="552">
        <v>0.3</v>
      </c>
      <c r="F30" s="25">
        <v>0.5</v>
      </c>
      <c r="G30" s="25">
        <v>0.5</v>
      </c>
      <c r="H30" s="25">
        <v>0.05</v>
      </c>
    </row>
    <row r="31" spans="1:9" ht="18.75">
      <c r="A31" s="541">
        <v>21</v>
      </c>
      <c r="B31" s="542" t="s">
        <v>823</v>
      </c>
      <c r="C31" s="552">
        <v>0.3</v>
      </c>
      <c r="D31" s="552">
        <v>0.3</v>
      </c>
      <c r="E31" s="552">
        <v>0.3</v>
      </c>
      <c r="F31" s="25">
        <v>0.5</v>
      </c>
      <c r="G31" s="25">
        <v>0.5</v>
      </c>
      <c r="H31" s="25">
        <v>0.05</v>
      </c>
    </row>
    <row r="32" spans="1:9" ht="18.75">
      <c r="A32" s="541">
        <v>22</v>
      </c>
      <c r="B32" s="542" t="s">
        <v>824</v>
      </c>
      <c r="C32" s="552">
        <v>0.3</v>
      </c>
      <c r="D32" s="552">
        <v>0.3</v>
      </c>
      <c r="E32" s="552">
        <v>0.3</v>
      </c>
      <c r="F32" s="25">
        <v>0.5</v>
      </c>
      <c r="G32" s="25">
        <v>0.5</v>
      </c>
      <c r="H32" s="25">
        <v>0.05</v>
      </c>
    </row>
    <row r="33" spans="1:8" ht="18.75">
      <c r="A33" s="541">
        <v>23</v>
      </c>
      <c r="B33" s="542" t="s">
        <v>825</v>
      </c>
      <c r="C33" s="552">
        <v>0.3</v>
      </c>
      <c r="D33" s="552">
        <v>0.3</v>
      </c>
      <c r="E33" s="552">
        <v>0.3</v>
      </c>
      <c r="F33" s="25">
        <v>0.5</v>
      </c>
      <c r="G33" s="25">
        <v>0.5</v>
      </c>
      <c r="H33" s="25">
        <v>0.05</v>
      </c>
    </row>
    <row r="34" spans="1:8" ht="18.75">
      <c r="A34" s="541">
        <v>24</v>
      </c>
      <c r="B34" s="542" t="s">
        <v>826</v>
      </c>
      <c r="C34" s="552">
        <v>0.3</v>
      </c>
      <c r="D34" s="552">
        <v>0.3</v>
      </c>
      <c r="E34" s="552">
        <v>0.3</v>
      </c>
      <c r="F34" s="25">
        <v>0.5</v>
      </c>
      <c r="G34" s="25">
        <v>0.5</v>
      </c>
      <c r="H34" s="25">
        <v>0.05</v>
      </c>
    </row>
    <row r="35" spans="1:8" ht="18.75">
      <c r="A35" s="547">
        <v>25</v>
      </c>
      <c r="B35" s="548" t="s">
        <v>827</v>
      </c>
      <c r="C35" s="552">
        <v>0.3</v>
      </c>
      <c r="D35" s="552">
        <v>0.3</v>
      </c>
      <c r="E35" s="552">
        <v>0.3</v>
      </c>
      <c r="F35" s="25">
        <v>0.5</v>
      </c>
      <c r="G35" s="25">
        <v>0.5</v>
      </c>
      <c r="H35" s="25">
        <v>0.05</v>
      </c>
    </row>
    <row r="36" spans="1:8" ht="18.75">
      <c r="A36" s="541">
        <v>26</v>
      </c>
      <c r="B36" s="542" t="s">
        <v>828</v>
      </c>
      <c r="C36" s="552">
        <v>0.3</v>
      </c>
      <c r="D36" s="552">
        <v>0.3</v>
      </c>
      <c r="E36" s="552">
        <v>0.3</v>
      </c>
      <c r="F36" s="25">
        <v>0.5</v>
      </c>
      <c r="G36" s="25">
        <v>0.5</v>
      </c>
      <c r="H36" s="25">
        <v>0.05</v>
      </c>
    </row>
    <row r="37" spans="1:8" ht="18.75">
      <c r="A37" s="541">
        <v>27</v>
      </c>
      <c r="B37" s="542" t="s">
        <v>829</v>
      </c>
      <c r="C37" s="552">
        <v>0.3</v>
      </c>
      <c r="D37" s="552">
        <v>0.3</v>
      </c>
      <c r="E37" s="552">
        <v>0.3</v>
      </c>
      <c r="F37" s="25">
        <v>0.5</v>
      </c>
      <c r="G37" s="25">
        <v>0.5</v>
      </c>
      <c r="H37" s="25">
        <v>0.05</v>
      </c>
    </row>
    <row r="38" spans="1:8" ht="18.75">
      <c r="A38" s="541">
        <v>28</v>
      </c>
      <c r="B38" s="542" t="s">
        <v>830</v>
      </c>
      <c r="C38" s="552">
        <v>0.5</v>
      </c>
      <c r="D38" s="552">
        <v>0.5</v>
      </c>
      <c r="E38" s="552">
        <v>0.5</v>
      </c>
      <c r="F38" s="25">
        <v>0.5</v>
      </c>
      <c r="G38" s="25">
        <v>0.5</v>
      </c>
      <c r="H38" s="25">
        <v>0.05</v>
      </c>
    </row>
    <row r="39" spans="1:8" ht="18.75">
      <c r="A39" s="541">
        <v>29</v>
      </c>
      <c r="B39" s="542" t="s">
        <v>831</v>
      </c>
      <c r="C39" s="552">
        <v>0.3</v>
      </c>
      <c r="D39" s="552">
        <v>0.3</v>
      </c>
      <c r="E39" s="552">
        <v>0.3</v>
      </c>
      <c r="F39" s="25">
        <v>0.5</v>
      </c>
      <c r="G39" s="25">
        <v>0.5</v>
      </c>
      <c r="H39" s="25">
        <v>0.05</v>
      </c>
    </row>
    <row r="40" spans="1:8" ht="18.75">
      <c r="A40" s="541">
        <v>30</v>
      </c>
      <c r="B40" s="542" t="s">
        <v>832</v>
      </c>
      <c r="C40" s="552">
        <v>0.3</v>
      </c>
      <c r="D40" s="552">
        <v>0.3</v>
      </c>
      <c r="E40" s="552">
        <v>0.3</v>
      </c>
      <c r="F40" s="25">
        <v>0.5</v>
      </c>
      <c r="G40" s="25">
        <v>0.5</v>
      </c>
      <c r="H40" s="25">
        <v>0.05</v>
      </c>
    </row>
    <row r="41" spans="1:8" ht="18.75">
      <c r="A41" s="541">
        <v>31</v>
      </c>
      <c r="B41" s="542" t="s">
        <v>833</v>
      </c>
      <c r="C41" s="552">
        <v>0.3</v>
      </c>
      <c r="D41" s="552">
        <v>0.3</v>
      </c>
      <c r="E41" s="552">
        <v>0.3</v>
      </c>
      <c r="F41" s="25">
        <v>0.5</v>
      </c>
      <c r="G41" s="25">
        <v>0.5</v>
      </c>
      <c r="H41" s="25">
        <v>0.05</v>
      </c>
    </row>
    <row r="42" spans="1:8" ht="18.75">
      <c r="A42" s="541">
        <v>32</v>
      </c>
      <c r="B42" s="542" t="s">
        <v>834</v>
      </c>
      <c r="C42" s="552">
        <v>0.3</v>
      </c>
      <c r="D42" s="552">
        <v>0.3</v>
      </c>
      <c r="E42" s="552">
        <v>0.3</v>
      </c>
      <c r="F42" s="25">
        <v>0.5</v>
      </c>
      <c r="G42" s="25">
        <v>0.5</v>
      </c>
      <c r="H42" s="25">
        <v>0.05</v>
      </c>
    </row>
    <row r="43" spans="1:8" ht="18.75">
      <c r="A43" s="541">
        <v>33</v>
      </c>
      <c r="B43" s="542" t="s">
        <v>835</v>
      </c>
      <c r="C43" s="552">
        <v>0.3</v>
      </c>
      <c r="D43" s="552">
        <v>0.3</v>
      </c>
      <c r="E43" s="552">
        <v>0.3</v>
      </c>
      <c r="F43" s="25">
        <v>0.5</v>
      </c>
      <c r="G43" s="25">
        <v>0.5</v>
      </c>
      <c r="H43" s="25">
        <v>0.05</v>
      </c>
    </row>
    <row r="44" spans="1:8" ht="18.75">
      <c r="A44" s="541">
        <v>34</v>
      </c>
      <c r="B44" s="542" t="s">
        <v>836</v>
      </c>
      <c r="C44" s="552">
        <v>0.5</v>
      </c>
      <c r="D44" s="552">
        <v>0.5</v>
      </c>
      <c r="E44" s="552">
        <v>0.5</v>
      </c>
      <c r="F44" s="25">
        <v>0.5</v>
      </c>
      <c r="G44" s="25">
        <v>0.5</v>
      </c>
      <c r="H44" s="25">
        <v>0.05</v>
      </c>
    </row>
    <row r="45" spans="1:8" ht="18.75">
      <c r="A45" s="541">
        <v>35</v>
      </c>
      <c r="B45" s="542" t="s">
        <v>837</v>
      </c>
      <c r="C45" s="552">
        <v>0.5</v>
      </c>
      <c r="D45" s="552">
        <v>0.5</v>
      </c>
      <c r="E45" s="552">
        <v>0.5</v>
      </c>
      <c r="F45" s="25">
        <v>0.5</v>
      </c>
      <c r="G45" s="25">
        <v>0.5</v>
      </c>
      <c r="H45" s="25">
        <v>0.05</v>
      </c>
    </row>
    <row r="46" spans="1:8" ht="18.75">
      <c r="A46" s="541">
        <v>36</v>
      </c>
      <c r="B46" s="542" t="s">
        <v>838</v>
      </c>
      <c r="C46" s="552">
        <v>0.3</v>
      </c>
      <c r="D46" s="552">
        <v>0.3</v>
      </c>
      <c r="E46" s="552">
        <v>0.3</v>
      </c>
      <c r="F46" s="25">
        <v>0.5</v>
      </c>
      <c r="G46" s="25">
        <v>0.5</v>
      </c>
      <c r="H46" s="25">
        <v>0.05</v>
      </c>
    </row>
    <row r="47" spans="1:8" ht="18.75">
      <c r="A47" s="541">
        <v>37</v>
      </c>
      <c r="B47" s="542" t="s">
        <v>839</v>
      </c>
      <c r="C47" s="552">
        <v>0.3</v>
      </c>
      <c r="D47" s="552">
        <v>0.3</v>
      </c>
      <c r="E47" s="552">
        <v>0.3</v>
      </c>
      <c r="F47" s="25">
        <v>0.5</v>
      </c>
      <c r="G47" s="25">
        <v>0.5</v>
      </c>
      <c r="H47" s="25">
        <v>0.05</v>
      </c>
    </row>
    <row r="48" spans="1:8" ht="18.75">
      <c r="A48" s="541">
        <v>38</v>
      </c>
      <c r="B48" s="542" t="s">
        <v>840</v>
      </c>
      <c r="C48" s="552">
        <v>0.3</v>
      </c>
      <c r="D48" s="552">
        <v>0.3</v>
      </c>
      <c r="E48" s="552">
        <v>0.3</v>
      </c>
      <c r="F48" s="25">
        <v>0.5</v>
      </c>
      <c r="G48" s="25">
        <v>0.5</v>
      </c>
      <c r="H48" s="25">
        <v>0.05</v>
      </c>
    </row>
    <row r="49" spans="1:8" ht="18.75">
      <c r="A49" s="541">
        <v>39</v>
      </c>
      <c r="B49" s="542" t="s">
        <v>841</v>
      </c>
      <c r="C49" s="552">
        <v>0.5</v>
      </c>
      <c r="D49" s="552">
        <v>0.5</v>
      </c>
      <c r="E49" s="552">
        <v>0.5</v>
      </c>
      <c r="F49" s="25">
        <v>0.5</v>
      </c>
      <c r="G49" s="25">
        <v>0.5</v>
      </c>
      <c r="H49" s="25">
        <v>0.05</v>
      </c>
    </row>
    <row r="50" spans="1:8" ht="18.75">
      <c r="A50" s="541">
        <v>40</v>
      </c>
      <c r="B50" s="542" t="s">
        <v>842</v>
      </c>
      <c r="C50" s="552">
        <v>0.3</v>
      </c>
      <c r="D50" s="552">
        <v>0.3</v>
      </c>
      <c r="E50" s="552">
        <v>0.3</v>
      </c>
      <c r="F50" s="25">
        <v>0.5</v>
      </c>
      <c r="G50" s="25">
        <v>0.5</v>
      </c>
      <c r="H50" s="25">
        <v>0.05</v>
      </c>
    </row>
    <row r="51" spans="1:8" ht="18.75">
      <c r="A51" s="541">
        <v>41</v>
      </c>
      <c r="B51" s="542" t="s">
        <v>843</v>
      </c>
      <c r="C51" s="552">
        <v>0.3</v>
      </c>
      <c r="D51" s="552">
        <v>0.3</v>
      </c>
      <c r="E51" s="552">
        <v>0.3</v>
      </c>
      <c r="F51" s="25">
        <v>0.5</v>
      </c>
      <c r="G51" s="25">
        <v>0.5</v>
      </c>
      <c r="H51" s="25">
        <v>0.05</v>
      </c>
    </row>
    <row r="52" spans="1:8" ht="18.75">
      <c r="A52" s="541">
        <v>42</v>
      </c>
      <c r="B52" s="542" t="s">
        <v>844</v>
      </c>
      <c r="C52" s="552">
        <v>0.3</v>
      </c>
      <c r="D52" s="552">
        <v>0.3</v>
      </c>
      <c r="E52" s="552">
        <v>0.3</v>
      </c>
      <c r="F52" s="25">
        <v>0.5</v>
      </c>
      <c r="G52" s="25">
        <v>0.5</v>
      </c>
      <c r="H52" s="25">
        <v>0.05</v>
      </c>
    </row>
    <row r="53" spans="1:8" ht="18.75">
      <c r="A53" s="541">
        <v>43</v>
      </c>
      <c r="B53" s="542" t="s">
        <v>845</v>
      </c>
      <c r="C53" s="552">
        <v>0.3</v>
      </c>
      <c r="D53" s="552">
        <v>0.3</v>
      </c>
      <c r="E53" s="552">
        <v>0.3</v>
      </c>
      <c r="F53" s="25">
        <v>0.5</v>
      </c>
      <c r="G53" s="25">
        <v>0.5</v>
      </c>
      <c r="H53" s="25">
        <v>0.05</v>
      </c>
    </row>
    <row r="54" spans="1:8" ht="18.75">
      <c r="A54" s="541">
        <v>44</v>
      </c>
      <c r="B54" s="542" t="s">
        <v>846</v>
      </c>
      <c r="C54" s="552">
        <v>0.3</v>
      </c>
      <c r="D54" s="552">
        <v>0.3</v>
      </c>
      <c r="E54" s="552">
        <v>0.3</v>
      </c>
      <c r="F54" s="25">
        <v>0.5</v>
      </c>
      <c r="G54" s="25">
        <v>0.5</v>
      </c>
      <c r="H54" s="25">
        <v>0.05</v>
      </c>
    </row>
    <row r="55" spans="1:8" ht="18.75">
      <c r="A55" s="547">
        <v>45</v>
      </c>
      <c r="B55" s="548" t="s">
        <v>847</v>
      </c>
      <c r="C55" s="552">
        <v>0.3</v>
      </c>
      <c r="D55" s="552">
        <v>0.3</v>
      </c>
      <c r="E55" s="552">
        <v>0.3</v>
      </c>
      <c r="F55" s="25">
        <v>0.5</v>
      </c>
      <c r="G55" s="25">
        <v>0.5</v>
      </c>
      <c r="H55" s="25">
        <v>0.05</v>
      </c>
    </row>
    <row r="56" spans="1:8" ht="18.75">
      <c r="A56" s="543">
        <v>46</v>
      </c>
      <c r="B56" s="542" t="s">
        <v>848</v>
      </c>
      <c r="C56" s="552">
        <v>0.5</v>
      </c>
      <c r="D56" s="552">
        <v>0.5</v>
      </c>
      <c r="E56" s="552">
        <v>0.5</v>
      </c>
      <c r="F56" s="25">
        <v>0.5</v>
      </c>
      <c r="G56" s="25">
        <v>0.5</v>
      </c>
      <c r="H56" s="25">
        <v>0.05</v>
      </c>
    </row>
    <row r="57" spans="1:8" ht="18.75">
      <c r="A57" s="541">
        <v>47</v>
      </c>
      <c r="B57" s="542" t="s">
        <v>849</v>
      </c>
      <c r="C57" s="552">
        <v>0.3</v>
      </c>
      <c r="D57" s="552">
        <v>0.3</v>
      </c>
      <c r="E57" s="552">
        <v>0.3</v>
      </c>
      <c r="F57" s="25">
        <v>0.5</v>
      </c>
      <c r="G57" s="25">
        <v>0.5</v>
      </c>
      <c r="H57" s="25">
        <v>0.05</v>
      </c>
    </row>
    <row r="58" spans="1:8" ht="18.75">
      <c r="A58" s="541">
        <v>48</v>
      </c>
      <c r="B58" s="542" t="s">
        <v>850</v>
      </c>
      <c r="C58" s="552">
        <v>0.3</v>
      </c>
      <c r="D58" s="552">
        <v>0.3</v>
      </c>
      <c r="E58" s="552">
        <v>0.3</v>
      </c>
      <c r="F58" s="25">
        <v>0.5</v>
      </c>
      <c r="G58" s="25">
        <v>0.5</v>
      </c>
      <c r="H58" s="25">
        <v>0.05</v>
      </c>
    </row>
    <row r="59" spans="1:8" ht="18.75">
      <c r="A59" s="541">
        <v>49</v>
      </c>
      <c r="B59" s="544" t="s">
        <v>851</v>
      </c>
      <c r="C59" s="552">
        <v>0.3</v>
      </c>
      <c r="D59" s="552">
        <v>0.3</v>
      </c>
      <c r="E59" s="552">
        <v>0.3</v>
      </c>
      <c r="F59" s="25">
        <v>0.5</v>
      </c>
      <c r="G59" s="25">
        <v>0.5</v>
      </c>
      <c r="H59" s="25">
        <v>0.05</v>
      </c>
    </row>
    <row r="60" spans="1:8" ht="18.75">
      <c r="A60" s="541">
        <v>50</v>
      </c>
      <c r="B60" s="544" t="s">
        <v>852</v>
      </c>
      <c r="C60" s="552">
        <v>0.5</v>
      </c>
      <c r="D60" s="552">
        <v>0.5</v>
      </c>
      <c r="E60" s="552">
        <v>0.5</v>
      </c>
      <c r="F60" s="25">
        <v>0.5</v>
      </c>
      <c r="G60" s="25">
        <v>0.5</v>
      </c>
      <c r="H60" s="25">
        <v>0.05</v>
      </c>
    </row>
    <row r="61" spans="1:8" ht="18.75">
      <c r="A61" s="541">
        <v>51</v>
      </c>
      <c r="B61" s="544" t="s">
        <v>853</v>
      </c>
      <c r="C61" s="552">
        <v>0.3</v>
      </c>
      <c r="D61" s="552">
        <v>0.3</v>
      </c>
      <c r="E61" s="552">
        <v>0.3</v>
      </c>
      <c r="F61" s="25">
        <v>0.5</v>
      </c>
      <c r="G61" s="25">
        <v>0.5</v>
      </c>
      <c r="H61" s="25">
        <v>0.05</v>
      </c>
    </row>
    <row r="62" spans="1:8" ht="18.75">
      <c r="A62" s="541">
        <v>52</v>
      </c>
      <c r="B62" s="544" t="s">
        <v>854</v>
      </c>
      <c r="C62" s="552">
        <v>0.3</v>
      </c>
      <c r="D62" s="552">
        <v>0.3</v>
      </c>
      <c r="E62" s="552">
        <v>0.3</v>
      </c>
      <c r="F62" s="25">
        <v>0.5</v>
      </c>
      <c r="G62" s="25">
        <v>0.5</v>
      </c>
      <c r="H62" s="25">
        <v>0.05</v>
      </c>
    </row>
    <row r="63" spans="1:8" ht="18.75">
      <c r="A63" s="541">
        <v>53</v>
      </c>
      <c r="B63" s="544" t="s">
        <v>855</v>
      </c>
      <c r="C63" s="552">
        <v>0.3</v>
      </c>
      <c r="D63" s="552">
        <v>0.3</v>
      </c>
      <c r="E63" s="552">
        <v>0.3</v>
      </c>
      <c r="F63" s="25">
        <v>0.5</v>
      </c>
      <c r="G63" s="25">
        <v>0.5</v>
      </c>
      <c r="H63" s="25">
        <v>0.05</v>
      </c>
    </row>
    <row r="64" spans="1:8" ht="18.75">
      <c r="A64" s="541">
        <v>54</v>
      </c>
      <c r="B64" s="544" t="s">
        <v>856</v>
      </c>
      <c r="C64" s="552">
        <v>0.3</v>
      </c>
      <c r="D64" s="552">
        <v>0.3</v>
      </c>
      <c r="E64" s="552">
        <v>0.3</v>
      </c>
      <c r="F64" s="25">
        <v>0.5</v>
      </c>
      <c r="G64" s="25">
        <v>0.5</v>
      </c>
      <c r="H64" s="25">
        <v>0.05</v>
      </c>
    </row>
    <row r="65" spans="1:8" ht="18.75">
      <c r="A65" s="541">
        <v>55</v>
      </c>
      <c r="B65" s="544" t="s">
        <v>857</v>
      </c>
      <c r="C65" s="552">
        <v>0.3</v>
      </c>
      <c r="D65" s="552">
        <v>0.3</v>
      </c>
      <c r="E65" s="552">
        <v>0.3</v>
      </c>
      <c r="F65" s="25">
        <v>0.5</v>
      </c>
      <c r="G65" s="25">
        <v>0.5</v>
      </c>
      <c r="H65" s="25">
        <v>0.05</v>
      </c>
    </row>
    <row r="66" spans="1:8" ht="18.75">
      <c r="A66" s="541">
        <v>56</v>
      </c>
      <c r="B66" s="544" t="s">
        <v>858</v>
      </c>
      <c r="C66" s="552">
        <v>0.3</v>
      </c>
      <c r="D66" s="552">
        <v>0.3</v>
      </c>
      <c r="E66" s="552">
        <v>0.3</v>
      </c>
      <c r="F66" s="25">
        <v>0.5</v>
      </c>
      <c r="G66" s="25">
        <v>0.5</v>
      </c>
      <c r="H66" s="25">
        <v>0.05</v>
      </c>
    </row>
    <row r="67" spans="1:8" ht="18.75">
      <c r="A67" s="541">
        <v>57</v>
      </c>
      <c r="B67" s="544" t="s">
        <v>859</v>
      </c>
      <c r="C67" s="552">
        <v>0.3</v>
      </c>
      <c r="D67" s="552">
        <v>0.3</v>
      </c>
      <c r="E67" s="552">
        <v>0.3</v>
      </c>
      <c r="F67" s="25">
        <v>0.5</v>
      </c>
      <c r="G67" s="25">
        <v>0.5</v>
      </c>
      <c r="H67" s="25">
        <v>0.05</v>
      </c>
    </row>
    <row r="68" spans="1:8" ht="18.75">
      <c r="A68" s="541">
        <v>58</v>
      </c>
      <c r="B68" s="544" t="s">
        <v>860</v>
      </c>
      <c r="C68" s="552">
        <v>0.5</v>
      </c>
      <c r="D68" s="552">
        <v>0.5</v>
      </c>
      <c r="E68" s="552">
        <v>0.5</v>
      </c>
      <c r="F68" s="25">
        <v>0.5</v>
      </c>
      <c r="G68" s="25">
        <v>0.5</v>
      </c>
      <c r="H68" s="25">
        <v>0.05</v>
      </c>
    </row>
    <row r="69" spans="1:8" ht="18.75">
      <c r="A69" s="541">
        <v>59</v>
      </c>
      <c r="B69" s="544" t="s">
        <v>861</v>
      </c>
      <c r="C69" s="552">
        <v>0.3</v>
      </c>
      <c r="D69" s="552">
        <v>0.3</v>
      </c>
      <c r="E69" s="552">
        <v>0.3</v>
      </c>
      <c r="F69" s="25">
        <v>0.5</v>
      </c>
      <c r="G69" s="25">
        <v>0.5</v>
      </c>
      <c r="H69" s="25">
        <v>0.05</v>
      </c>
    </row>
    <row r="70" spans="1:8" ht="18.75">
      <c r="A70" s="541">
        <v>60</v>
      </c>
      <c r="B70" s="544" t="s">
        <v>862</v>
      </c>
      <c r="C70" s="552">
        <v>0.3</v>
      </c>
      <c r="D70" s="552">
        <v>0.3</v>
      </c>
      <c r="E70" s="552">
        <v>0.3</v>
      </c>
      <c r="F70" s="25">
        <v>0.5</v>
      </c>
      <c r="G70" s="25">
        <v>0.5</v>
      </c>
      <c r="H70" s="25">
        <v>0.05</v>
      </c>
    </row>
    <row r="71" spans="1:8" ht="18.75">
      <c r="A71" s="541">
        <v>61</v>
      </c>
      <c r="B71" s="544" t="s">
        <v>863</v>
      </c>
      <c r="C71" s="552">
        <v>0.3</v>
      </c>
      <c r="D71" s="552">
        <v>0.3</v>
      </c>
      <c r="E71" s="552">
        <v>0.3</v>
      </c>
      <c r="F71" s="25">
        <v>0.5</v>
      </c>
      <c r="G71" s="25">
        <v>0.5</v>
      </c>
      <c r="H71" s="25">
        <v>0.05</v>
      </c>
    </row>
    <row r="72" spans="1:8" ht="18.75">
      <c r="A72" s="541">
        <v>62</v>
      </c>
      <c r="B72" s="544" t="s">
        <v>864</v>
      </c>
      <c r="C72" s="552">
        <v>0.5</v>
      </c>
      <c r="D72" s="552">
        <v>0.5</v>
      </c>
      <c r="E72" s="552">
        <v>0.5</v>
      </c>
      <c r="F72" s="25">
        <v>0.5</v>
      </c>
      <c r="G72" s="25">
        <v>0.5</v>
      </c>
      <c r="H72" s="25">
        <v>0.05</v>
      </c>
    </row>
    <row r="73" spans="1:8" ht="18.75">
      <c r="A73" s="541">
        <v>63</v>
      </c>
      <c r="B73" s="544" t="s">
        <v>865</v>
      </c>
      <c r="C73" s="552">
        <v>0.5</v>
      </c>
      <c r="D73" s="552">
        <v>0.5</v>
      </c>
      <c r="E73" s="552">
        <v>0.5</v>
      </c>
      <c r="F73" s="25">
        <v>0.5</v>
      </c>
      <c r="G73" s="25">
        <v>0.5</v>
      </c>
      <c r="H73" s="25">
        <v>0.05</v>
      </c>
    </row>
    <row r="74" spans="1:8" ht="18.75">
      <c r="A74" s="541">
        <v>64</v>
      </c>
      <c r="B74" s="544" t="s">
        <v>866</v>
      </c>
      <c r="C74" s="552">
        <v>0.5</v>
      </c>
      <c r="D74" s="552">
        <v>0.5</v>
      </c>
      <c r="E74" s="552">
        <v>0.5</v>
      </c>
      <c r="F74" s="25">
        <v>0.5</v>
      </c>
      <c r="G74" s="25">
        <v>0.5</v>
      </c>
      <c r="H74" s="25">
        <v>0.05</v>
      </c>
    </row>
    <row r="75" spans="1:8" ht="18.75">
      <c r="A75" s="541">
        <v>65</v>
      </c>
      <c r="B75" s="544" t="s">
        <v>867</v>
      </c>
      <c r="C75" s="552">
        <v>0.3</v>
      </c>
      <c r="D75" s="552">
        <v>0.3</v>
      </c>
      <c r="E75" s="552">
        <v>0.3</v>
      </c>
      <c r="F75" s="25">
        <v>0.5</v>
      </c>
      <c r="G75" s="25">
        <v>0.5</v>
      </c>
      <c r="H75" s="25">
        <v>0.05</v>
      </c>
    </row>
    <row r="76" spans="1:8" ht="18.75">
      <c r="A76" s="541">
        <v>66</v>
      </c>
      <c r="B76" s="544" t="s">
        <v>868</v>
      </c>
      <c r="C76" s="552">
        <v>0.3</v>
      </c>
      <c r="D76" s="552">
        <v>0.3</v>
      </c>
      <c r="E76" s="552">
        <v>0.3</v>
      </c>
      <c r="F76" s="25">
        <v>0.5</v>
      </c>
      <c r="G76" s="25">
        <v>0.5</v>
      </c>
      <c r="H76" s="25">
        <v>0.05</v>
      </c>
    </row>
    <row r="77" spans="1:8" ht="18.75">
      <c r="A77" s="541">
        <v>67</v>
      </c>
      <c r="B77" s="544" t="s">
        <v>869</v>
      </c>
      <c r="C77" s="552">
        <v>0.5</v>
      </c>
      <c r="D77" s="552">
        <v>0.5</v>
      </c>
      <c r="E77" s="552">
        <v>0.5</v>
      </c>
      <c r="F77" s="25">
        <v>0.5</v>
      </c>
      <c r="G77" s="25">
        <v>0.5</v>
      </c>
      <c r="H77" s="25">
        <v>0.05</v>
      </c>
    </row>
    <row r="78" spans="1:8" ht="18.75">
      <c r="A78" s="541">
        <v>68</v>
      </c>
      <c r="B78" s="544" t="s">
        <v>870</v>
      </c>
      <c r="C78" s="552">
        <v>0.3</v>
      </c>
      <c r="D78" s="552">
        <v>0.3</v>
      </c>
      <c r="E78" s="552">
        <v>0.3</v>
      </c>
      <c r="F78" s="25">
        <v>0.5</v>
      </c>
      <c r="G78" s="25">
        <v>0.5</v>
      </c>
      <c r="H78" s="25">
        <v>0.05</v>
      </c>
    </row>
    <row r="79" spans="1:8" ht="18.75">
      <c r="A79" s="541">
        <v>69</v>
      </c>
      <c r="B79" s="544" t="s">
        <v>871</v>
      </c>
      <c r="C79" s="552">
        <v>0.3</v>
      </c>
      <c r="D79" s="552">
        <v>0.3</v>
      </c>
      <c r="E79" s="552">
        <v>0.3</v>
      </c>
      <c r="F79" s="25">
        <v>0.5</v>
      </c>
      <c r="G79" s="25">
        <v>0.5</v>
      </c>
      <c r="H79" s="25">
        <v>0.05</v>
      </c>
    </row>
    <row r="80" spans="1:8" ht="18.75">
      <c r="A80" s="541">
        <v>70</v>
      </c>
      <c r="B80" s="544" t="s">
        <v>872</v>
      </c>
      <c r="C80" s="552">
        <v>0.3</v>
      </c>
      <c r="D80" s="552">
        <v>0.3</v>
      </c>
      <c r="E80" s="552">
        <v>0.3</v>
      </c>
      <c r="F80" s="25">
        <v>0.5</v>
      </c>
      <c r="G80" s="25">
        <v>0.5</v>
      </c>
      <c r="H80" s="25">
        <v>0.05</v>
      </c>
    </row>
    <row r="81" spans="1:8" ht="18.75">
      <c r="A81" s="541">
        <v>71</v>
      </c>
      <c r="B81" s="544" t="s">
        <v>873</v>
      </c>
      <c r="C81" s="552">
        <v>0.3</v>
      </c>
      <c r="D81" s="552">
        <v>0.3</v>
      </c>
      <c r="E81" s="552">
        <v>0.3</v>
      </c>
      <c r="F81" s="25">
        <v>0.5</v>
      </c>
      <c r="G81" s="25">
        <v>0.5</v>
      </c>
      <c r="H81" s="25">
        <v>0.05</v>
      </c>
    </row>
    <row r="82" spans="1:8" ht="18.75">
      <c r="A82" s="541">
        <v>72</v>
      </c>
      <c r="B82" s="544" t="s">
        <v>874</v>
      </c>
      <c r="C82" s="552">
        <v>0.3</v>
      </c>
      <c r="D82" s="552">
        <v>0.3</v>
      </c>
      <c r="E82" s="552">
        <v>0.3</v>
      </c>
      <c r="F82" s="25">
        <v>0.5</v>
      </c>
      <c r="G82" s="25">
        <v>0.5</v>
      </c>
      <c r="H82" s="25">
        <v>0.05</v>
      </c>
    </row>
    <row r="83" spans="1:8" ht="18.75">
      <c r="A83" s="541">
        <v>73</v>
      </c>
      <c r="B83" s="544" t="s">
        <v>875</v>
      </c>
      <c r="C83" s="552">
        <v>0.3</v>
      </c>
      <c r="D83" s="552">
        <v>0.3</v>
      </c>
      <c r="E83" s="552">
        <v>0.3</v>
      </c>
      <c r="F83" s="25">
        <v>0.5</v>
      </c>
      <c r="G83" s="25">
        <v>0.5</v>
      </c>
      <c r="H83" s="25">
        <v>0.05</v>
      </c>
    </row>
    <row r="84" spans="1:8" ht="18.75">
      <c r="A84" s="541">
        <v>74</v>
      </c>
      <c r="B84" s="544" t="s">
        <v>876</v>
      </c>
      <c r="C84" s="552">
        <v>0.3</v>
      </c>
      <c r="D84" s="552">
        <v>0.3</v>
      </c>
      <c r="E84" s="552">
        <v>0.3</v>
      </c>
      <c r="F84" s="25">
        <v>0.5</v>
      </c>
      <c r="G84" s="25">
        <v>0.5</v>
      </c>
      <c r="H84" s="25">
        <v>0.05</v>
      </c>
    </row>
    <row r="85" spans="1:8" ht="18.75">
      <c r="A85" s="541">
        <v>75</v>
      </c>
      <c r="B85" s="544" t="s">
        <v>877</v>
      </c>
      <c r="C85" s="552">
        <v>0.3</v>
      </c>
      <c r="D85" s="552">
        <v>0.3</v>
      </c>
      <c r="E85" s="552">
        <v>0.3</v>
      </c>
      <c r="F85" s="25">
        <v>0.5</v>
      </c>
      <c r="G85" s="25">
        <v>0.5</v>
      </c>
      <c r="H85" s="25">
        <v>0.05</v>
      </c>
    </row>
    <row r="86" spans="1:8" ht="18.75">
      <c r="A86" s="541">
        <v>76</v>
      </c>
      <c r="B86" s="544" t="s">
        <v>878</v>
      </c>
      <c r="C86" s="552">
        <v>0.5</v>
      </c>
      <c r="D86" s="552">
        <v>0.5</v>
      </c>
      <c r="E86" s="552">
        <v>0.5</v>
      </c>
      <c r="F86" s="25">
        <v>0.5</v>
      </c>
      <c r="G86" s="25">
        <v>0.5</v>
      </c>
      <c r="H86" s="25">
        <v>0.05</v>
      </c>
    </row>
    <row r="87" spans="1:8" ht="18.75">
      <c r="A87" s="541">
        <v>77</v>
      </c>
      <c r="B87" s="544" t="s">
        <v>879</v>
      </c>
      <c r="C87" s="552">
        <v>0.3</v>
      </c>
      <c r="D87" s="552">
        <v>0.3</v>
      </c>
      <c r="E87" s="552">
        <v>0.3</v>
      </c>
      <c r="F87" s="25">
        <v>0.5</v>
      </c>
      <c r="G87" s="25">
        <v>0.5</v>
      </c>
      <c r="H87" s="25">
        <v>0.05</v>
      </c>
    </row>
    <row r="88" spans="1:8" ht="18.75">
      <c r="A88" s="541">
        <v>78</v>
      </c>
      <c r="B88" s="544" t="s">
        <v>880</v>
      </c>
      <c r="C88" s="552">
        <v>0.3</v>
      </c>
      <c r="D88" s="552">
        <v>0.3</v>
      </c>
      <c r="E88" s="552">
        <v>0.3</v>
      </c>
      <c r="F88" s="25">
        <v>0.5</v>
      </c>
      <c r="G88" s="25">
        <v>0.5</v>
      </c>
      <c r="H88" s="25">
        <v>0.05</v>
      </c>
    </row>
    <row r="89" spans="1:8" ht="18.75">
      <c r="A89" s="541">
        <v>79</v>
      </c>
      <c r="B89" s="544" t="s">
        <v>881</v>
      </c>
      <c r="C89" s="552">
        <v>0.3</v>
      </c>
      <c r="D89" s="552">
        <v>0.3</v>
      </c>
      <c r="E89" s="552">
        <v>0.3</v>
      </c>
      <c r="F89" s="25">
        <v>0.5</v>
      </c>
      <c r="G89" s="25">
        <v>0.5</v>
      </c>
      <c r="H89" s="25">
        <v>0.05</v>
      </c>
    </row>
    <row r="90" spans="1:8" ht="18.75">
      <c r="A90" s="541">
        <v>80</v>
      </c>
      <c r="B90" s="544" t="s">
        <v>882</v>
      </c>
      <c r="C90" s="552">
        <v>0.3</v>
      </c>
      <c r="D90" s="552">
        <v>0.3</v>
      </c>
      <c r="E90" s="552">
        <v>0.3</v>
      </c>
      <c r="F90" s="25">
        <v>0.5</v>
      </c>
      <c r="G90" s="25">
        <v>0.5</v>
      </c>
      <c r="H90" s="25">
        <v>0.05</v>
      </c>
    </row>
    <row r="91" spans="1:8" ht="18.75">
      <c r="A91" s="541">
        <v>81</v>
      </c>
      <c r="B91" s="544" t="s">
        <v>883</v>
      </c>
      <c r="C91" s="552">
        <v>0.5</v>
      </c>
      <c r="D91" s="552">
        <v>0.5</v>
      </c>
      <c r="E91" s="552">
        <v>0.5</v>
      </c>
      <c r="F91" s="25">
        <v>0.5</v>
      </c>
      <c r="G91" s="25">
        <v>0.5</v>
      </c>
      <c r="H91" s="25">
        <v>0.05</v>
      </c>
    </row>
    <row r="92" spans="1:8" ht="18.75">
      <c r="A92" s="541">
        <v>82</v>
      </c>
      <c r="B92" s="544" t="s">
        <v>884</v>
      </c>
      <c r="C92" s="552">
        <v>0.3</v>
      </c>
      <c r="D92" s="552">
        <v>0.3</v>
      </c>
      <c r="E92" s="552">
        <v>0.3</v>
      </c>
      <c r="F92" s="25">
        <v>0.5</v>
      </c>
      <c r="G92" s="25">
        <v>0.5</v>
      </c>
      <c r="H92" s="25">
        <v>0.05</v>
      </c>
    </row>
    <row r="93" spans="1:8" ht="18.75">
      <c r="A93" s="541">
        <v>83</v>
      </c>
      <c r="B93" s="544" t="s">
        <v>885</v>
      </c>
      <c r="C93" s="552">
        <v>0.3</v>
      </c>
      <c r="D93" s="552">
        <v>0.3</v>
      </c>
      <c r="E93" s="552">
        <v>0.3</v>
      </c>
      <c r="F93" s="25">
        <v>0.5</v>
      </c>
      <c r="G93" s="25">
        <v>0.5</v>
      </c>
      <c r="H93" s="25">
        <v>0.05</v>
      </c>
    </row>
    <row r="94" spans="1:8" ht="18.75">
      <c r="A94" s="541">
        <v>84</v>
      </c>
      <c r="B94" s="544" t="s">
        <v>886</v>
      </c>
      <c r="C94" s="552">
        <v>0.3</v>
      </c>
      <c r="D94" s="552">
        <v>0.3</v>
      </c>
      <c r="E94" s="552">
        <v>0.3</v>
      </c>
      <c r="F94" s="25">
        <v>0.5</v>
      </c>
      <c r="G94" s="25">
        <v>0.5</v>
      </c>
      <c r="H94" s="25">
        <v>0.05</v>
      </c>
    </row>
    <row r="95" spans="1:8" ht="18.75">
      <c r="A95" s="541">
        <v>85</v>
      </c>
      <c r="B95" s="544" t="s">
        <v>887</v>
      </c>
      <c r="C95" s="552">
        <v>0.3</v>
      </c>
      <c r="D95" s="552">
        <v>0.3</v>
      </c>
      <c r="E95" s="552">
        <v>0.3</v>
      </c>
      <c r="F95" s="25">
        <v>0.5</v>
      </c>
      <c r="G95" s="25">
        <v>0.5</v>
      </c>
      <c r="H95" s="25">
        <v>0.05</v>
      </c>
    </row>
    <row r="96" spans="1:8" ht="18.75">
      <c r="A96" s="541">
        <v>86</v>
      </c>
      <c r="B96" s="544" t="s">
        <v>888</v>
      </c>
      <c r="C96" s="552">
        <v>0.3</v>
      </c>
      <c r="D96" s="552">
        <v>0.3</v>
      </c>
      <c r="E96" s="552">
        <v>0.3</v>
      </c>
      <c r="F96" s="25">
        <v>0.5</v>
      </c>
      <c r="G96" s="25">
        <v>0.5</v>
      </c>
      <c r="H96" s="25">
        <v>0.05</v>
      </c>
    </row>
    <row r="97" spans="1:8" ht="18.75">
      <c r="A97" s="541">
        <v>87</v>
      </c>
      <c r="B97" s="544" t="s">
        <v>889</v>
      </c>
      <c r="C97" s="552">
        <v>0.3</v>
      </c>
      <c r="D97" s="552">
        <v>0.3</v>
      </c>
      <c r="E97" s="552">
        <v>0.3</v>
      </c>
      <c r="F97" s="25">
        <v>0.5</v>
      </c>
      <c r="G97" s="25">
        <v>0.5</v>
      </c>
      <c r="H97" s="25">
        <v>0.05</v>
      </c>
    </row>
    <row r="98" spans="1:8" ht="18.75">
      <c r="A98" s="541">
        <v>88</v>
      </c>
      <c r="B98" s="544" t="s">
        <v>890</v>
      </c>
      <c r="C98" s="552">
        <v>0.3</v>
      </c>
      <c r="D98" s="552">
        <v>0.3</v>
      </c>
      <c r="E98" s="552">
        <v>0.3</v>
      </c>
      <c r="F98" s="25">
        <v>0.5</v>
      </c>
      <c r="G98" s="25">
        <v>0.5</v>
      </c>
      <c r="H98" s="25">
        <v>0.05</v>
      </c>
    </row>
    <row r="99" spans="1:8" ht="18.75">
      <c r="A99" s="541">
        <v>89</v>
      </c>
      <c r="B99" s="544" t="s">
        <v>891</v>
      </c>
      <c r="C99" s="552">
        <v>0.5</v>
      </c>
      <c r="D99" s="552">
        <v>0.5</v>
      </c>
      <c r="E99" s="552">
        <v>0.5</v>
      </c>
      <c r="F99" s="25">
        <v>0.5</v>
      </c>
      <c r="G99" s="25">
        <v>0.5</v>
      </c>
      <c r="H99" s="25">
        <v>0.05</v>
      </c>
    </row>
    <row r="100" spans="1:8" ht="18.75">
      <c r="A100" s="541">
        <v>90</v>
      </c>
      <c r="B100" s="544" t="s">
        <v>892</v>
      </c>
      <c r="C100" s="552">
        <v>0.3</v>
      </c>
      <c r="D100" s="552">
        <v>0.3</v>
      </c>
      <c r="E100" s="552">
        <v>0.3</v>
      </c>
      <c r="F100" s="25">
        <v>0.5</v>
      </c>
      <c r="G100" s="25">
        <v>0.5</v>
      </c>
      <c r="H100" s="25">
        <v>0.05</v>
      </c>
    </row>
    <row r="101" spans="1:8" ht="18.75">
      <c r="A101" s="541">
        <v>91</v>
      </c>
      <c r="B101" s="544" t="s">
        <v>893</v>
      </c>
      <c r="C101" s="552">
        <v>0.5</v>
      </c>
      <c r="D101" s="552">
        <v>0.5</v>
      </c>
      <c r="E101" s="552">
        <v>0.5</v>
      </c>
      <c r="F101" s="25">
        <v>0.5</v>
      </c>
      <c r="G101" s="25">
        <v>0.5</v>
      </c>
      <c r="H101" s="25">
        <v>0.05</v>
      </c>
    </row>
    <row r="102" spans="1:8" ht="18.75">
      <c r="A102" s="541">
        <v>92</v>
      </c>
      <c r="B102" s="544" t="s">
        <v>894</v>
      </c>
      <c r="C102" s="552">
        <v>1</v>
      </c>
      <c r="D102" s="552">
        <v>1</v>
      </c>
      <c r="E102" s="552">
        <v>1</v>
      </c>
      <c r="F102" s="25">
        <v>0.4</v>
      </c>
      <c r="G102" s="25">
        <v>0.5</v>
      </c>
      <c r="H102" s="25">
        <v>0.05</v>
      </c>
    </row>
    <row r="103" spans="1:8" ht="18.75">
      <c r="A103" s="541">
        <v>93</v>
      </c>
      <c r="B103" s="544" t="s">
        <v>895</v>
      </c>
      <c r="C103" s="552">
        <v>0.5</v>
      </c>
      <c r="D103" s="552">
        <v>0.5</v>
      </c>
      <c r="E103" s="552">
        <v>0.5</v>
      </c>
      <c r="F103" s="25">
        <v>0.5</v>
      </c>
      <c r="G103" s="25">
        <v>0.5</v>
      </c>
      <c r="H103" s="25">
        <v>0.05</v>
      </c>
    </row>
    <row r="104" spans="1:8" ht="18.75">
      <c r="A104" s="541">
        <v>94</v>
      </c>
      <c r="B104" s="544" t="s">
        <v>896</v>
      </c>
      <c r="C104" s="552">
        <v>0.5</v>
      </c>
      <c r="D104" s="552">
        <v>0.5</v>
      </c>
      <c r="E104" s="552">
        <v>0.5</v>
      </c>
      <c r="F104" s="25">
        <v>0.5</v>
      </c>
      <c r="G104" s="25">
        <v>0.5</v>
      </c>
      <c r="H104" s="25">
        <v>0.05</v>
      </c>
    </row>
    <row r="105" spans="1:8" ht="18.75">
      <c r="A105" s="541">
        <v>95</v>
      </c>
      <c r="B105" s="544" t="s">
        <v>897</v>
      </c>
      <c r="C105" s="552">
        <v>0.5</v>
      </c>
      <c r="D105" s="552">
        <v>0.5</v>
      </c>
      <c r="E105" s="552">
        <v>0.5</v>
      </c>
      <c r="F105" s="25">
        <v>0.5</v>
      </c>
      <c r="G105" s="25">
        <v>0.5</v>
      </c>
      <c r="H105" s="25">
        <v>0.05</v>
      </c>
    </row>
    <row r="106" spans="1:8" ht="18.75">
      <c r="A106" s="541">
        <v>96</v>
      </c>
      <c r="B106" s="544" t="s">
        <v>898</v>
      </c>
      <c r="C106" s="552">
        <v>0.3</v>
      </c>
      <c r="D106" s="552">
        <v>0.3</v>
      </c>
      <c r="E106" s="552">
        <v>0.3</v>
      </c>
      <c r="F106" s="25">
        <v>0.5</v>
      </c>
      <c r="G106" s="25">
        <v>0.5</v>
      </c>
      <c r="H106" s="25">
        <v>0.05</v>
      </c>
    </row>
    <row r="107" spans="1:8" ht="18.75">
      <c r="A107" s="541">
        <v>97</v>
      </c>
      <c r="B107" s="544" t="s">
        <v>899</v>
      </c>
      <c r="C107" s="552">
        <v>0.3</v>
      </c>
      <c r="D107" s="552">
        <v>0.3</v>
      </c>
      <c r="E107" s="552">
        <v>0.3</v>
      </c>
      <c r="F107" s="25">
        <v>0.5</v>
      </c>
      <c r="G107" s="25">
        <v>0.5</v>
      </c>
      <c r="H107" s="25">
        <v>0.05</v>
      </c>
    </row>
    <row r="108" spans="1:8" ht="18.75">
      <c r="A108" s="541">
        <v>98</v>
      </c>
      <c r="B108" s="544" t="s">
        <v>900</v>
      </c>
      <c r="C108" s="552">
        <v>0.3</v>
      </c>
      <c r="D108" s="552">
        <v>0.3</v>
      </c>
      <c r="E108" s="552">
        <v>0.3</v>
      </c>
      <c r="F108" s="25">
        <v>0.5</v>
      </c>
      <c r="G108" s="25">
        <v>0.5</v>
      </c>
      <c r="H108" s="25">
        <v>0.05</v>
      </c>
    </row>
    <row r="109" spans="1:8" ht="18.75">
      <c r="A109" s="541">
        <v>99</v>
      </c>
      <c r="B109" s="544" t="s">
        <v>901</v>
      </c>
      <c r="C109" s="552">
        <v>0.3</v>
      </c>
      <c r="D109" s="552">
        <v>0.3</v>
      </c>
      <c r="E109" s="552">
        <v>0.3</v>
      </c>
      <c r="F109" s="25">
        <v>0.5</v>
      </c>
      <c r="G109" s="25">
        <v>0.5</v>
      </c>
      <c r="H109" s="25">
        <v>0.05</v>
      </c>
    </row>
  </sheetData>
  <mergeCells count="9">
    <mergeCell ref="C8:H8"/>
    <mergeCell ref="F7:H7"/>
    <mergeCell ref="F1:H1"/>
    <mergeCell ref="A3:H3"/>
    <mergeCell ref="A4:H4"/>
    <mergeCell ref="A1:B1"/>
    <mergeCell ref="A5:H5"/>
    <mergeCell ref="A8:A9"/>
    <mergeCell ref="B8:B9"/>
  </mergeCells>
  <pageMargins left="0.78740157480314998" right="0.70866141732283505" top="0.74803149606299202" bottom="0.74803149606299202" header="0.31496062992126" footer="0.31496062992126"/>
  <pageSetup paperSize="9" scale="9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10"/>
  <sheetViews>
    <sheetView tabSelected="1" workbookViewId="0">
      <selection activeCell="F9" sqref="F9"/>
    </sheetView>
  </sheetViews>
  <sheetFormatPr defaultColWidth="9.140625" defaultRowHeight="12.75"/>
  <cols>
    <col min="1" max="1" width="5.7109375" style="1" customWidth="1"/>
    <col min="2" max="2" width="36.5703125" style="1" customWidth="1"/>
    <col min="3" max="3" width="11" style="1" customWidth="1"/>
    <col min="4" max="5" width="12.28515625" style="2" customWidth="1"/>
    <col min="6" max="6" width="14.28515625" style="2" customWidth="1"/>
    <col min="7" max="7" width="11" style="1" customWidth="1"/>
    <col min="8" max="8" width="10.7109375" style="1" customWidth="1"/>
    <col min="9" max="9" width="9.42578125" style="1" customWidth="1"/>
    <col min="10" max="10" width="11.85546875" style="1" customWidth="1"/>
    <col min="11" max="11" width="10.140625" style="1" bestFit="1" customWidth="1"/>
    <col min="12" max="12" width="11.28515625" style="1" bestFit="1" customWidth="1"/>
    <col min="13" max="16384" width="9.140625" style="1"/>
  </cols>
  <sheetData>
    <row r="1" spans="1:12" ht="15.75">
      <c r="A1" s="771" t="s">
        <v>1629</v>
      </c>
      <c r="B1" s="771"/>
      <c r="C1" s="771"/>
      <c r="G1" s="772" t="s">
        <v>380</v>
      </c>
      <c r="H1" s="772"/>
      <c r="I1" s="772"/>
      <c r="J1" s="772"/>
    </row>
    <row r="3" spans="1:12" s="3" customFormat="1" ht="18.75">
      <c r="A3" s="769" t="s">
        <v>1638</v>
      </c>
      <c r="B3" s="769"/>
      <c r="C3" s="769"/>
      <c r="D3" s="769"/>
      <c r="E3" s="769"/>
      <c r="F3" s="769"/>
      <c r="G3" s="769"/>
      <c r="H3" s="769"/>
      <c r="I3" s="769"/>
      <c r="J3" s="769"/>
    </row>
    <row r="4" spans="1:12" s="6" customFormat="1" ht="18.75">
      <c r="A4" s="770" t="s">
        <v>147</v>
      </c>
      <c r="B4" s="770"/>
      <c r="C4" s="770"/>
      <c r="D4" s="770"/>
      <c r="E4" s="770"/>
      <c r="F4" s="770"/>
      <c r="G4" s="770"/>
      <c r="H4" s="770"/>
      <c r="I4" s="770"/>
      <c r="J4" s="770"/>
    </row>
    <row r="5" spans="1:12" s="4" customFormat="1" ht="18.75">
      <c r="B5" s="8"/>
      <c r="C5" s="8"/>
      <c r="D5" s="8"/>
      <c r="E5" s="8"/>
      <c r="F5" s="8"/>
    </row>
    <row r="6" spans="1:12">
      <c r="H6" s="777" t="s">
        <v>382</v>
      </c>
      <c r="I6" s="777"/>
      <c r="J6" s="777"/>
    </row>
    <row r="7" spans="1:12" s="5" customFormat="1" ht="31.15" customHeight="1">
      <c r="A7" s="776" t="s">
        <v>65</v>
      </c>
      <c r="B7" s="773" t="s">
        <v>3</v>
      </c>
      <c r="C7" s="773" t="s">
        <v>314</v>
      </c>
      <c r="D7" s="773" t="s">
        <v>1643</v>
      </c>
      <c r="E7" s="773"/>
      <c r="F7" s="773"/>
      <c r="G7" s="773" t="s">
        <v>312</v>
      </c>
      <c r="H7" s="773" t="s">
        <v>313</v>
      </c>
      <c r="I7" s="773" t="s">
        <v>188</v>
      </c>
      <c r="J7" s="773" t="s">
        <v>1637</v>
      </c>
    </row>
    <row r="8" spans="1:12" s="5" customFormat="1" ht="19.149999999999999" customHeight="1">
      <c r="A8" s="776"/>
      <c r="B8" s="775"/>
      <c r="C8" s="773"/>
      <c r="D8" s="773" t="s">
        <v>27</v>
      </c>
      <c r="E8" s="774" t="s">
        <v>311</v>
      </c>
      <c r="F8" s="774"/>
      <c r="G8" s="773"/>
      <c r="H8" s="773"/>
      <c r="I8" s="773"/>
      <c r="J8" s="773"/>
    </row>
    <row r="9" spans="1:12" s="5" customFormat="1" ht="110.25">
      <c r="A9" s="776"/>
      <c r="B9" s="775"/>
      <c r="C9" s="773"/>
      <c r="D9" s="773"/>
      <c r="E9" s="12" t="s">
        <v>1636</v>
      </c>
      <c r="F9" s="12" t="s">
        <v>1646</v>
      </c>
      <c r="G9" s="773"/>
      <c r="H9" s="773"/>
      <c r="I9" s="773"/>
      <c r="J9" s="773"/>
    </row>
    <row r="10" spans="1:12" s="21" customFormat="1" ht="15.75">
      <c r="A10" s="15" t="s">
        <v>55</v>
      </c>
      <c r="B10" s="7" t="s">
        <v>56</v>
      </c>
      <c r="C10" s="12">
        <v>1</v>
      </c>
      <c r="D10" s="12">
        <v>2</v>
      </c>
      <c r="E10" s="12">
        <v>3</v>
      </c>
      <c r="F10" s="12">
        <v>4</v>
      </c>
      <c r="G10" s="12">
        <v>5</v>
      </c>
      <c r="H10" s="12">
        <v>6</v>
      </c>
      <c r="I10" s="12">
        <v>7</v>
      </c>
      <c r="J10" s="12">
        <v>8</v>
      </c>
    </row>
    <row r="11" spans="1:12" s="20" customFormat="1" ht="22.15" customHeight="1">
      <c r="A11" s="17"/>
      <c r="B11" s="18" t="s">
        <v>54</v>
      </c>
      <c r="C11" s="22">
        <f>SUM(C12:C110)</f>
        <v>23500000</v>
      </c>
      <c r="D11" s="22">
        <f>SUM(D12:D110)</f>
        <v>4385579.05</v>
      </c>
      <c r="E11" s="22">
        <f t="shared" ref="E11:G11" si="0">SUM(E12:E110)</f>
        <v>601039</v>
      </c>
      <c r="F11" s="22">
        <f t="shared" si="0"/>
        <v>3784540.05</v>
      </c>
      <c r="G11" s="22">
        <f t="shared" si="0"/>
        <v>8279263.4573942097</v>
      </c>
      <c r="H11" s="22">
        <f t="shared" ref="H11" si="1">SUM(H12:H110)</f>
        <v>2797212.2180831325</v>
      </c>
      <c r="I11" s="22">
        <f t="shared" ref="I11" si="2">SUM(I12:I110)</f>
        <v>0</v>
      </c>
      <c r="J11" s="22">
        <f t="shared" ref="J11" si="3">SUM(J12:J110)</f>
        <v>15462054.725477338</v>
      </c>
      <c r="K11" s="19"/>
      <c r="L11" s="19"/>
    </row>
    <row r="12" spans="1:12" s="11" customFormat="1" ht="22.15" customHeight="1">
      <c r="A12" s="541">
        <v>1</v>
      </c>
      <c r="B12" s="542" t="s">
        <v>803</v>
      </c>
      <c r="C12" s="13">
        <f>VLOOKUP(B12,'[3]BS cân đối NS xã (PL 9)'!$B$16:$L$115,2,FALSE)</f>
        <v>4101310</v>
      </c>
      <c r="D12" s="13">
        <f>VLOOKUP(B12,'[3]BS cân đối NS xã (PL 9)'!$B$17:$D$115,3,FALSE)</f>
        <v>470152.85</v>
      </c>
      <c r="E12" s="13">
        <v>24250</v>
      </c>
      <c r="F12" s="13">
        <f>D12-E12</f>
        <v>445902.85</v>
      </c>
      <c r="G12" s="13">
        <f>VLOOKUP(B12,'[3]BS cân đối NS xã (PL 9)'!$B$16:$L$115,9,FALSE)</f>
        <v>-2.3351389681920409E-2</v>
      </c>
      <c r="H12" s="13">
        <f>VLOOKUP(B12,'[3]BS cân đối NS xã (PL 9)'!$B$16:$L$115,10,FALSE)</f>
        <v>66406.622605398195</v>
      </c>
      <c r="I12" s="13"/>
      <c r="J12" s="13">
        <f>VLOOKUP(B12,'[3]BS cân đối NS xã (PL 9)'!$B$16:$L$115,11,FALSE)</f>
        <v>536559.44925400848</v>
      </c>
    </row>
    <row r="13" spans="1:12" s="11" customFormat="1" ht="22.15" customHeight="1">
      <c r="A13" s="541">
        <v>2</v>
      </c>
      <c r="B13" s="542" t="s">
        <v>804</v>
      </c>
      <c r="C13" s="13">
        <f>VLOOKUP(B13,'[3]BS cân đối NS xã (PL 9)'!$B$16:$L$115,2,FALSE)</f>
        <v>3850140</v>
      </c>
      <c r="D13" s="13">
        <f>VLOOKUP(B13,'[3]BS cân đối NS xã (PL 9)'!$B$17:$D$115,3,FALSE)</f>
        <v>572186.05000000005</v>
      </c>
      <c r="E13" s="13">
        <v>261170</v>
      </c>
      <c r="F13" s="13">
        <f t="shared" ref="F13:F76" si="4">D13-E13</f>
        <v>311016.05000000005</v>
      </c>
      <c r="G13" s="13">
        <f>VLOOKUP(B13,'[3]BS cân đối NS xã (PL 9)'!$B$16:$L$115,9,FALSE)</f>
        <v>3.6236954620108008E-2</v>
      </c>
      <c r="H13" s="13">
        <f>VLOOKUP(B13,'[3]BS cân đối NS xã (PL 9)'!$B$16:$L$115,10,FALSE)</f>
        <v>96536.8</v>
      </c>
      <c r="I13" s="13"/>
      <c r="J13" s="13">
        <f>VLOOKUP(B13,'[3]BS cân đối NS xã (PL 9)'!$B$16:$L$115,11,FALSE)</f>
        <v>668722.88623695471</v>
      </c>
    </row>
    <row r="14" spans="1:12" s="11" customFormat="1" ht="22.15" customHeight="1">
      <c r="A14" s="541">
        <v>3</v>
      </c>
      <c r="B14" s="542" t="s">
        <v>805</v>
      </c>
      <c r="C14" s="13">
        <f>VLOOKUP(B14,'[3]BS cân đối NS xã (PL 9)'!$B$16:$L$115,2,FALSE)</f>
        <v>52500</v>
      </c>
      <c r="D14" s="13">
        <f>VLOOKUP(B14,'[3]BS cân đối NS xã (PL 9)'!$B$17:$D$115,3,FALSE)</f>
        <v>10025</v>
      </c>
      <c r="E14" s="13">
        <v>4050</v>
      </c>
      <c r="F14" s="13">
        <f t="shared" si="4"/>
        <v>5975</v>
      </c>
      <c r="G14" s="13">
        <f>VLOOKUP(B14,'[3]BS cân đối NS xã (PL 9)'!$B$16:$L$115,9,FALSE)</f>
        <v>78935.474630186451</v>
      </c>
      <c r="H14" s="13">
        <f>VLOOKUP(B14,'[3]BS cân đối NS xã (PL 9)'!$B$16:$L$115,10,FALSE)</f>
        <v>21991.155096617797</v>
      </c>
      <c r="I14" s="13"/>
      <c r="J14" s="13">
        <f>VLOOKUP(B14,'[3]BS cân đối NS xã (PL 9)'!$B$16:$L$115,11,FALSE)</f>
        <v>110951.62972680424</v>
      </c>
    </row>
    <row r="15" spans="1:12" s="11" customFormat="1" ht="22.15" customHeight="1">
      <c r="A15" s="541">
        <v>4</v>
      </c>
      <c r="B15" s="542" t="s">
        <v>806</v>
      </c>
      <c r="C15" s="13">
        <f>VLOOKUP(B15,'[3]BS cân đối NS xã (PL 9)'!$B$16:$L$115,2,FALSE)</f>
        <v>25030</v>
      </c>
      <c r="D15" s="13">
        <f>VLOOKUP(B15,'[3]BS cân đối NS xã (PL 9)'!$B$17:$D$115,3,FALSE)</f>
        <v>8625</v>
      </c>
      <c r="E15" s="500">
        <v>950</v>
      </c>
      <c r="F15" s="13">
        <f t="shared" si="4"/>
        <v>7675</v>
      </c>
      <c r="G15" s="13">
        <f>VLOOKUP(B15,'[3]BS cân đối NS xã (PL 9)'!$B$16:$L$115,9,FALSE)</f>
        <v>69999.888372798596</v>
      </c>
      <c r="H15" s="13">
        <f>VLOOKUP(B15,'[3]BS cân đối NS xã (PL 9)'!$B$16:$L$115,10,FALSE)</f>
        <v>20786.317496756998</v>
      </c>
      <c r="I15" s="13"/>
      <c r="J15" s="13">
        <f>VLOOKUP(B15,'[3]BS cân đối NS xã (PL 9)'!$B$16:$L$115,11,FALSE)</f>
        <v>99411.20586955559</v>
      </c>
    </row>
    <row r="16" spans="1:12" s="11" customFormat="1" ht="22.15" customHeight="1">
      <c r="A16" s="541">
        <v>5</v>
      </c>
      <c r="B16" s="542" t="s">
        <v>807</v>
      </c>
      <c r="C16" s="13">
        <f>VLOOKUP(B16,'[3]BS cân đối NS xã (PL 9)'!$B$16:$L$115,2,FALSE)</f>
        <v>930</v>
      </c>
      <c r="D16" s="13">
        <f>VLOOKUP(B16,'[3]BS cân đối NS xã (PL 9)'!$B$17:$D$115,3,FALSE)</f>
        <v>891</v>
      </c>
      <c r="E16" s="13">
        <v>860</v>
      </c>
      <c r="F16" s="13">
        <f t="shared" si="4"/>
        <v>31</v>
      </c>
      <c r="G16" s="13">
        <f>VLOOKUP(B16,'[3]BS cân đối NS xã (PL 9)'!$B$16:$L$115,9,FALSE)</f>
        <v>67819.524640851945</v>
      </c>
      <c r="H16" s="13">
        <f>VLOOKUP(B16,'[3]BS cân đối NS xã (PL 9)'!$B$16:$L$115,10,FALSE)</f>
        <v>18589.547306190198</v>
      </c>
      <c r="I16" s="13"/>
      <c r="J16" s="13">
        <f>VLOOKUP(B16,'[3]BS cân đối NS xã (PL 9)'!$B$16:$L$115,11,FALSE)</f>
        <v>87300.071947042146</v>
      </c>
    </row>
    <row r="17" spans="1:10" s="11" customFormat="1" ht="22.15" customHeight="1">
      <c r="A17" s="541">
        <v>6</v>
      </c>
      <c r="B17" s="542" t="s">
        <v>808</v>
      </c>
      <c r="C17" s="13">
        <f>VLOOKUP(B17,'[3]BS cân đối NS xã (PL 9)'!$B$16:$L$115,2,FALSE)</f>
        <v>147000</v>
      </c>
      <c r="D17" s="13">
        <f>VLOOKUP(B17,'[3]BS cân đối NS xã (PL 9)'!$B$17:$D$115,3,FALSE)</f>
        <v>23475</v>
      </c>
      <c r="E17" s="13">
        <v>750</v>
      </c>
      <c r="F17" s="13">
        <f t="shared" si="4"/>
        <v>22725</v>
      </c>
      <c r="G17" s="13">
        <f>VLOOKUP(B17,'[3]BS cân đối NS xã (PL 9)'!$B$16:$L$115,9,FALSE)</f>
        <v>46160.117213055826</v>
      </c>
      <c r="H17" s="13">
        <f>VLOOKUP(B17,'[3]BS cân đối NS xã (PL 9)'!$B$16:$L$115,10,FALSE)</f>
        <v>19722.046456520795</v>
      </c>
      <c r="I17" s="13"/>
      <c r="J17" s="13">
        <f>VLOOKUP(B17,'[3]BS cân đối NS xã (PL 9)'!$B$16:$L$115,11,FALSE)</f>
        <v>89357.163669576621</v>
      </c>
    </row>
    <row r="18" spans="1:10" s="11" customFormat="1" ht="22.15" customHeight="1">
      <c r="A18" s="541">
        <v>7</v>
      </c>
      <c r="B18" s="542" t="s">
        <v>809</v>
      </c>
      <c r="C18" s="13">
        <f>VLOOKUP(B18,'[3]BS cân đối NS xã (PL 9)'!$B$16:$L$115,2,FALSE)</f>
        <v>3684495</v>
      </c>
      <c r="D18" s="13">
        <f>VLOOKUP(B18,'[3]BS cân đối NS xã (PL 9)'!$B$17:$D$115,3,FALSE)</f>
        <v>528589.5</v>
      </c>
      <c r="E18" s="13">
        <v>66890</v>
      </c>
      <c r="F18" s="13">
        <f t="shared" si="4"/>
        <v>461699.5</v>
      </c>
      <c r="G18" s="13">
        <f>VLOOKUP(B18,'[3]BS cân đối NS xã (PL 9)'!$B$16:$L$115,9,FALSE)</f>
        <v>-4.8199655604548752E-2</v>
      </c>
      <c r="H18" s="13">
        <f>VLOOKUP(B18,'[3]BS cân đối NS xã (PL 9)'!$B$16:$L$115,10,FALSE)</f>
        <v>49896.465133493526</v>
      </c>
      <c r="I18" s="13"/>
      <c r="J18" s="13">
        <f>VLOOKUP(B18,'[3]BS cân đối NS xã (PL 9)'!$B$16:$L$115,11,FALSE)</f>
        <v>578485.91693383793</v>
      </c>
    </row>
    <row r="19" spans="1:10" s="11" customFormat="1" ht="22.15" customHeight="1">
      <c r="A19" s="541">
        <v>8</v>
      </c>
      <c r="B19" s="542" t="s">
        <v>810</v>
      </c>
      <c r="C19" s="13">
        <f>VLOOKUP(B19,'[3]BS cân đối NS xã (PL 9)'!$B$16:$L$115,2,FALSE)</f>
        <v>3400</v>
      </c>
      <c r="D19" s="13">
        <f>VLOOKUP(B19,'[3]BS cân đối NS xã (PL 9)'!$B$17:$D$115,3,FALSE)</f>
        <v>2090</v>
      </c>
      <c r="E19" s="13">
        <v>1190</v>
      </c>
      <c r="F19" s="13">
        <f t="shared" si="4"/>
        <v>900</v>
      </c>
      <c r="G19" s="13">
        <f>VLOOKUP(B19,'[3]BS cân đối NS xã (PL 9)'!$B$16:$L$115,9,FALSE)</f>
        <v>70464.834988487215</v>
      </c>
      <c r="H19" s="13">
        <f>VLOOKUP(B19,'[3]BS cân đối NS xã (PL 9)'!$B$16:$L$115,10,FALSE)</f>
        <v>23350.233196563997</v>
      </c>
      <c r="I19" s="13"/>
      <c r="J19" s="13">
        <f>VLOOKUP(B19,'[3]BS cân đối NS xã (PL 9)'!$B$16:$L$115,11,FALSE)</f>
        <v>95905.068185051205</v>
      </c>
    </row>
    <row r="20" spans="1:10" s="11" customFormat="1" ht="22.15" customHeight="1">
      <c r="A20" s="541">
        <v>9</v>
      </c>
      <c r="B20" s="542" t="s">
        <v>811</v>
      </c>
      <c r="C20" s="13">
        <f>VLOOKUP(B20,'[3]BS cân đối NS xã (PL 9)'!$B$16:$L$115,2,FALSE)</f>
        <v>9520</v>
      </c>
      <c r="D20" s="13">
        <f>VLOOKUP(B20,'[3]BS cân đối NS xã (PL 9)'!$B$17:$D$115,3,FALSE)</f>
        <v>6489</v>
      </c>
      <c r="E20" s="13">
        <v>4760</v>
      </c>
      <c r="F20" s="13">
        <f t="shared" si="4"/>
        <v>1729</v>
      </c>
      <c r="G20" s="13">
        <f>VLOOKUP(B20,'[3]BS cân đối NS xã (PL 9)'!$B$16:$L$115,9,FALSE)</f>
        <v>109593.80864413017</v>
      </c>
      <c r="H20" s="13">
        <f>VLOOKUP(B20,'[3]BS cân đối NS xã (PL 9)'!$B$16:$L$115,10,FALSE)</f>
        <v>35459.12236959899</v>
      </c>
      <c r="I20" s="13"/>
      <c r="J20" s="13">
        <f>VLOOKUP(B20,'[3]BS cân đối NS xã (PL 9)'!$B$16:$L$115,11,FALSE)</f>
        <v>151541.93101372916</v>
      </c>
    </row>
    <row r="21" spans="1:10" ht="18.75">
      <c r="A21" s="541">
        <v>10</v>
      </c>
      <c r="B21" s="542" t="s">
        <v>812</v>
      </c>
      <c r="C21" s="13">
        <f>VLOOKUP(B21,'[3]BS cân đối NS xã (PL 9)'!$B$16:$L$115,2,FALSE)</f>
        <v>1100</v>
      </c>
      <c r="D21" s="13">
        <f>VLOOKUP(B21,'[3]BS cân đối NS xã (PL 9)'!$B$17:$D$115,3,FALSE)</f>
        <v>990</v>
      </c>
      <c r="E21" s="546">
        <v>920</v>
      </c>
      <c r="F21" s="13">
        <f t="shared" si="4"/>
        <v>70</v>
      </c>
      <c r="G21" s="13">
        <f>VLOOKUP(B21,'[3]BS cân đối NS xã (PL 9)'!$B$16:$L$115,9,FALSE)</f>
        <v>60799.598216773302</v>
      </c>
      <c r="H21" s="13">
        <f>VLOOKUP(B21,'[3]BS cân đối NS xã (PL 9)'!$B$16:$L$115,10,FALSE)</f>
        <v>16557.208401283398</v>
      </c>
      <c r="I21" s="545"/>
      <c r="J21" s="13">
        <f>VLOOKUP(B21,'[3]BS cân đối NS xã (PL 9)'!$B$16:$L$115,11,FALSE)</f>
        <v>78346.806618056697</v>
      </c>
    </row>
    <row r="22" spans="1:10" ht="18.75">
      <c r="A22" s="541">
        <v>11</v>
      </c>
      <c r="B22" s="542" t="s">
        <v>813</v>
      </c>
      <c r="C22" s="13">
        <f>VLOOKUP(B22,'[3]BS cân đối NS xã (PL 9)'!$B$16:$L$115,2,FALSE)</f>
        <v>27040</v>
      </c>
      <c r="D22" s="13">
        <f>VLOOKUP(B22,'[3]BS cân đối NS xã (PL 9)'!$B$17:$D$115,3,FALSE)</f>
        <v>9377.65</v>
      </c>
      <c r="E22" s="546">
        <v>3680</v>
      </c>
      <c r="F22" s="13">
        <f t="shared" si="4"/>
        <v>5697.65</v>
      </c>
      <c r="G22" s="13">
        <f>VLOOKUP(B22,'[3]BS cân đối NS xã (PL 9)'!$B$16:$L$115,9,FALSE)</f>
        <v>89206.068430084881</v>
      </c>
      <c r="H22" s="13">
        <f>VLOOKUP(B22,'[3]BS cân đối NS xã (PL 9)'!$B$16:$L$115,10,FALSE)</f>
        <v>27991.572604675595</v>
      </c>
      <c r="I22" s="545"/>
      <c r="J22" s="13">
        <f>VLOOKUP(B22,'[3]BS cân đối NS xã (PL 9)'!$B$16:$L$115,11,FALSE)</f>
        <v>126575.29103476046</v>
      </c>
    </row>
    <row r="23" spans="1:10" ht="18.75">
      <c r="A23" s="541">
        <v>12</v>
      </c>
      <c r="B23" s="542" t="s">
        <v>814</v>
      </c>
      <c r="C23" s="13">
        <f>VLOOKUP(B23,'[3]BS cân đối NS xã (PL 9)'!$B$16:$L$115,2,FALSE)</f>
        <v>19294</v>
      </c>
      <c r="D23" s="13">
        <f>VLOOKUP(B23,'[3]BS cân đối NS xã (PL 9)'!$B$17:$D$115,3,FALSE)</f>
        <v>11802.5</v>
      </c>
      <c r="E23" s="546">
        <v>8310</v>
      </c>
      <c r="F23" s="13">
        <f t="shared" si="4"/>
        <v>3492.5</v>
      </c>
      <c r="G23" s="13">
        <f>VLOOKUP(B23,'[3]BS cân đối NS xã (PL 9)'!$B$16:$L$115,9,FALSE)</f>
        <v>120536.82129023731</v>
      </c>
      <c r="H23" s="13">
        <f>VLOOKUP(B23,'[3]BS cân đối NS xã (PL 9)'!$B$16:$L$115,10,FALSE)</f>
        <v>35953.945255413593</v>
      </c>
      <c r="I23" s="545"/>
      <c r="J23" s="13">
        <f>VLOOKUP(B23,'[3]BS cân đối NS xã (PL 9)'!$B$16:$L$115,11,FALSE)</f>
        <v>168293.2665456509</v>
      </c>
    </row>
    <row r="24" spans="1:10" ht="18.75">
      <c r="A24" s="541">
        <v>13</v>
      </c>
      <c r="B24" s="542" t="s">
        <v>815</v>
      </c>
      <c r="C24" s="13">
        <f>VLOOKUP(B24,'[3]BS cân đối NS xã (PL 9)'!$B$16:$L$115,2,FALSE)</f>
        <v>707564</v>
      </c>
      <c r="D24" s="13">
        <f>VLOOKUP(B24,'[3]BS cân đối NS xã (PL 9)'!$B$17:$D$115,3,FALSE)</f>
        <v>124128.5</v>
      </c>
      <c r="E24" s="546">
        <v>780</v>
      </c>
      <c r="F24" s="13">
        <f t="shared" si="4"/>
        <v>123348.5</v>
      </c>
      <c r="G24" s="13">
        <f>VLOOKUP(B24,'[3]BS cân đối NS xã (PL 9)'!$B$16:$L$115,9,FALSE)</f>
        <v>-4.3251483803032897E-2</v>
      </c>
      <c r="H24" s="13">
        <f>VLOOKUP(B24,'[3]BS cân đối NS xã (PL 9)'!$B$16:$L$115,10,FALSE)</f>
        <v>36796.299539718791</v>
      </c>
      <c r="I24" s="545"/>
      <c r="J24" s="13">
        <f>VLOOKUP(B24,'[3]BS cân đối NS xã (PL 9)'!$B$16:$L$115,11,FALSE)</f>
        <v>160924.75628823499</v>
      </c>
    </row>
    <row r="25" spans="1:10" ht="18.75">
      <c r="A25" s="541">
        <v>14</v>
      </c>
      <c r="B25" s="542" t="s">
        <v>816</v>
      </c>
      <c r="C25" s="13">
        <f>VLOOKUP(B25,'[3]BS cân đối NS xã (PL 9)'!$B$16:$L$115,2,FALSE)</f>
        <v>299356</v>
      </c>
      <c r="D25" s="13">
        <f>VLOOKUP(B25,'[3]BS cân đối NS xã (PL 9)'!$B$17:$D$115,3,FALSE)</f>
        <v>36667.5</v>
      </c>
      <c r="E25" s="546">
        <v>9260</v>
      </c>
      <c r="F25" s="13">
        <f t="shared" si="4"/>
        <v>27407.5</v>
      </c>
      <c r="G25" s="13">
        <f>VLOOKUP(B25,'[3]BS cân đối NS xã (PL 9)'!$B$16:$L$115,9,FALSE)</f>
        <v>89154.179765027991</v>
      </c>
      <c r="H25" s="13">
        <f>VLOOKUP(B25,'[3]BS cân đối NS xã (PL 9)'!$B$16:$L$115,10,FALSE)</f>
        <v>34453.535029859995</v>
      </c>
      <c r="I25" s="545"/>
      <c r="J25" s="13">
        <f>VLOOKUP(B25,'[3]BS cân đối NS xã (PL 9)'!$B$16:$L$115,11,FALSE)</f>
        <v>160275.21479488799</v>
      </c>
    </row>
    <row r="26" spans="1:10" ht="18.75">
      <c r="A26" s="541">
        <v>15</v>
      </c>
      <c r="B26" s="542" t="s">
        <v>817</v>
      </c>
      <c r="C26" s="13">
        <f>VLOOKUP(B26,'[3]BS cân đối NS xã (PL 9)'!$B$16:$L$115,2,FALSE)</f>
        <v>195810</v>
      </c>
      <c r="D26" s="13">
        <f>VLOOKUP(B26,'[3]BS cân đối NS xã (PL 9)'!$B$17:$D$115,3,FALSE)</f>
        <v>150676.5</v>
      </c>
      <c r="E26" s="546">
        <v>3700</v>
      </c>
      <c r="F26" s="13">
        <f t="shared" si="4"/>
        <v>146976.5</v>
      </c>
      <c r="G26" s="13">
        <f>VLOOKUP(B26,'[3]BS cân đối NS xã (PL 9)'!$B$16:$L$115,9,FALSE)</f>
        <v>169941.88640002161</v>
      </c>
      <c r="H26" s="13">
        <f>VLOOKUP(B26,'[3]BS cân đối NS xã (PL 9)'!$B$16:$L$115,10,FALSE)</f>
        <v>54050.078881792397</v>
      </c>
      <c r="I26" s="545"/>
      <c r="J26" s="13">
        <f>VLOOKUP(B26,'[3]BS cân đối NS xã (PL 9)'!$B$16:$L$115,11,FALSE)</f>
        <v>374668.46528181399</v>
      </c>
    </row>
    <row r="27" spans="1:10" ht="18.75">
      <c r="A27" s="541">
        <v>16</v>
      </c>
      <c r="B27" s="542" t="s">
        <v>818</v>
      </c>
      <c r="C27" s="13">
        <f>VLOOKUP(B27,'[3]BS cân đối NS xã (PL 9)'!$B$16:$L$115,2,FALSE)</f>
        <v>81045</v>
      </c>
      <c r="D27" s="13">
        <f>VLOOKUP(B27,'[3]BS cân đối NS xã (PL 9)'!$B$17:$D$115,3,FALSE)</f>
        <v>58287.5</v>
      </c>
      <c r="E27" s="546">
        <v>2960</v>
      </c>
      <c r="F27" s="13">
        <f t="shared" si="4"/>
        <v>55327.5</v>
      </c>
      <c r="G27" s="13">
        <f>VLOOKUP(B27,'[3]BS cân đối NS xã (PL 9)'!$B$16:$L$115,9,FALSE)</f>
        <v>126001.03926493434</v>
      </c>
      <c r="H27" s="13">
        <f>VLOOKUP(B27,'[3]BS cân đối NS xã (PL 9)'!$B$16:$L$115,10,FALSE)</f>
        <v>38200.629808228397</v>
      </c>
      <c r="I27" s="545"/>
      <c r="J27" s="13">
        <f>VLOOKUP(B27,'[3]BS cân đối NS xã (PL 9)'!$B$16:$L$115,11,FALSE)</f>
        <v>222489.16907316275</v>
      </c>
    </row>
    <row r="28" spans="1:10" ht="18.75">
      <c r="A28" s="541">
        <v>17</v>
      </c>
      <c r="B28" s="542" t="s">
        <v>819</v>
      </c>
      <c r="C28" s="13">
        <f>VLOOKUP(B28,'[3]BS cân đối NS xã (PL 9)'!$B$16:$L$115,2,FALSE)</f>
        <v>1799</v>
      </c>
      <c r="D28" s="13">
        <f>VLOOKUP(B28,'[3]BS cân đối NS xã (PL 9)'!$B$17:$D$115,3,FALSE)</f>
        <v>1489</v>
      </c>
      <c r="E28" s="546">
        <v>1335</v>
      </c>
      <c r="F28" s="13">
        <f t="shared" si="4"/>
        <v>154</v>
      </c>
      <c r="G28" s="13">
        <f>VLOOKUP(B28,'[3]BS cân đối NS xã (PL 9)'!$B$16:$L$115,9,FALSE)</f>
        <v>98308.734430317461</v>
      </c>
      <c r="H28" s="13">
        <f>VLOOKUP(B28,'[3]BS cân đối NS xã (PL 9)'!$B$16:$L$115,10,FALSE)</f>
        <v>23440.881177212796</v>
      </c>
      <c r="I28" s="545"/>
      <c r="J28" s="13">
        <f>VLOOKUP(B28,'[3]BS cân đối NS xã (PL 9)'!$B$16:$L$115,11,FALSE)</f>
        <v>123238.61560753026</v>
      </c>
    </row>
    <row r="29" spans="1:10" ht="18.75">
      <c r="A29" s="541">
        <v>18</v>
      </c>
      <c r="B29" s="542" t="s">
        <v>820</v>
      </c>
      <c r="C29" s="13">
        <f>VLOOKUP(B29,'[3]BS cân đối NS xã (PL 9)'!$B$16:$L$115,2,FALSE)</f>
        <v>4960</v>
      </c>
      <c r="D29" s="13">
        <f>VLOOKUP(B29,'[3]BS cân đối NS xã (PL 9)'!$B$17:$D$115,3,FALSE)</f>
        <v>3029</v>
      </c>
      <c r="E29" s="546">
        <v>2160</v>
      </c>
      <c r="F29" s="13">
        <f t="shared" si="4"/>
        <v>869</v>
      </c>
      <c r="G29" s="13">
        <f>VLOOKUP(B29,'[3]BS cân đối NS xã (PL 9)'!$B$16:$L$115,9,FALSE)</f>
        <v>105268.51168161555</v>
      </c>
      <c r="H29" s="13">
        <f>VLOOKUP(B29,'[3]BS cân đối NS xã (PL 9)'!$B$16:$L$115,10,FALSE)</f>
        <v>30385.045081872195</v>
      </c>
      <c r="I29" s="545"/>
      <c r="J29" s="13">
        <f>VLOOKUP(B29,'[3]BS cân đối NS xã (PL 9)'!$B$16:$L$115,11,FALSE)</f>
        <v>138682.55676348775</v>
      </c>
    </row>
    <row r="30" spans="1:10" ht="18.75">
      <c r="A30" s="541">
        <v>19</v>
      </c>
      <c r="B30" s="542" t="s">
        <v>821</v>
      </c>
      <c r="C30" s="13">
        <f>VLOOKUP(B30,'[3]BS cân đối NS xã (PL 9)'!$B$16:$L$115,2,FALSE)</f>
        <v>30434</v>
      </c>
      <c r="D30" s="13">
        <f>VLOOKUP(B30,'[3]BS cân đối NS xã (PL 9)'!$B$17:$D$115,3,FALSE)</f>
        <v>11845</v>
      </c>
      <c r="E30" s="546">
        <v>4150</v>
      </c>
      <c r="F30" s="13">
        <f t="shared" si="4"/>
        <v>7695</v>
      </c>
      <c r="G30" s="13">
        <f>VLOOKUP(B30,'[3]BS cân đối NS xã (PL 9)'!$B$16:$L$115,9,FALSE)</f>
        <v>80327.114808049286</v>
      </c>
      <c r="H30" s="13">
        <f>VLOOKUP(B30,'[3]BS cân đối NS xã (PL 9)'!$B$16:$L$115,10,FALSE)</f>
        <v>25628.552125353595</v>
      </c>
      <c r="I30" s="545"/>
      <c r="J30" s="13">
        <f>VLOOKUP(B30,'[3]BS cân đối NS xã (PL 9)'!$B$16:$L$115,11,FALSE)</f>
        <v>117800.66693340288</v>
      </c>
    </row>
    <row r="31" spans="1:10" ht="18.75">
      <c r="A31" s="541">
        <v>20</v>
      </c>
      <c r="B31" s="542" t="s">
        <v>822</v>
      </c>
      <c r="C31" s="13">
        <f>VLOOKUP(B31,'[3]BS cân đối NS xã (PL 9)'!$B$16:$L$115,2,FALSE)</f>
        <v>16710</v>
      </c>
      <c r="D31" s="13">
        <f>VLOOKUP(B31,'[3]BS cân đối NS xã (PL 9)'!$B$17:$D$115,3,FALSE)</f>
        <v>6045</v>
      </c>
      <c r="E31" s="546">
        <v>2030</v>
      </c>
      <c r="F31" s="13">
        <f t="shared" si="4"/>
        <v>4015</v>
      </c>
      <c r="G31" s="13">
        <f>VLOOKUP(B31,'[3]BS cân đối NS xã (PL 9)'!$B$16:$L$115,9,FALSE)</f>
        <v>65011.204581387356</v>
      </c>
      <c r="H31" s="13">
        <f>VLOOKUP(B31,'[3]BS cân đối NS xã (PL 9)'!$B$16:$L$115,10,FALSE)</f>
        <v>21429.027065263203</v>
      </c>
      <c r="I31" s="545"/>
      <c r="J31" s="13">
        <f>VLOOKUP(B31,'[3]BS cân đối NS xã (PL 9)'!$B$16:$L$115,11,FALSE)</f>
        <v>92485.231646650558</v>
      </c>
    </row>
    <row r="32" spans="1:10" ht="18.75">
      <c r="A32" s="541">
        <v>21</v>
      </c>
      <c r="B32" s="542" t="s">
        <v>823</v>
      </c>
      <c r="C32" s="13">
        <f>VLOOKUP(B32,'[3]BS cân đối NS xã (PL 9)'!$B$16:$L$115,2,FALSE)</f>
        <v>178555</v>
      </c>
      <c r="D32" s="13">
        <f>VLOOKUP(B32,'[3]BS cân đối NS xã (PL 9)'!$B$17:$D$115,3,FALSE)</f>
        <v>147476</v>
      </c>
      <c r="E32" s="546">
        <v>7484</v>
      </c>
      <c r="F32" s="13">
        <f t="shared" si="4"/>
        <v>139992</v>
      </c>
      <c r="G32" s="13">
        <f>VLOOKUP(B32,'[3]BS cân đối NS xã (PL 9)'!$B$16:$L$115,9,FALSE)</f>
        <v>196885.55645278253</v>
      </c>
      <c r="H32" s="13">
        <f>VLOOKUP(B32,'[3]BS cân đối NS xã (PL 9)'!$B$16:$L$115,10,FALSE)</f>
        <v>59400.499747737384</v>
      </c>
      <c r="I32" s="545"/>
      <c r="J32" s="13">
        <f>VLOOKUP(B32,'[3]BS cân đối NS xã (PL 9)'!$B$16:$L$115,11,FALSE)</f>
        <v>403762.0562005199</v>
      </c>
    </row>
    <row r="33" spans="1:10" ht="18.75">
      <c r="A33" s="541">
        <v>22</v>
      </c>
      <c r="B33" s="542" t="s">
        <v>824</v>
      </c>
      <c r="C33" s="13">
        <f>VLOOKUP(B33,'[3]BS cân đối NS xã (PL 9)'!$B$16:$L$115,2,FALSE)</f>
        <v>37675</v>
      </c>
      <c r="D33" s="13">
        <f>VLOOKUP(B33,'[3]BS cân đối NS xã (PL 9)'!$B$17:$D$115,3,FALSE)</f>
        <v>2640</v>
      </c>
      <c r="E33" s="546">
        <v>830</v>
      </c>
      <c r="F33" s="13">
        <f t="shared" si="4"/>
        <v>1810</v>
      </c>
      <c r="G33" s="13">
        <f>VLOOKUP(B33,'[3]BS cân đối NS xã (PL 9)'!$B$16:$L$115,9,FALSE)</f>
        <v>66096.399064526398</v>
      </c>
      <c r="H33" s="13">
        <f>VLOOKUP(B33,'[3]BS cân đối NS xã (PL 9)'!$B$16:$L$115,10,FALSE)</f>
        <v>15595.167115367998</v>
      </c>
      <c r="I33" s="545"/>
      <c r="J33" s="13">
        <f>VLOOKUP(B33,'[3]BS cân đối NS xã (PL 9)'!$B$16:$L$115,11,FALSE)</f>
        <v>84331.566179894391</v>
      </c>
    </row>
    <row r="34" spans="1:10" ht="18.75">
      <c r="A34" s="541">
        <v>23</v>
      </c>
      <c r="B34" s="542" t="s">
        <v>825</v>
      </c>
      <c r="C34" s="13">
        <f>VLOOKUP(B34,'[3]BS cân đối NS xã (PL 9)'!$B$16:$L$115,2,FALSE)</f>
        <v>670</v>
      </c>
      <c r="D34" s="13">
        <f>VLOOKUP(B34,'[3]BS cân đối NS xã (PL 9)'!$B$17:$D$115,3,FALSE)</f>
        <v>628</v>
      </c>
      <c r="E34" s="546">
        <v>625</v>
      </c>
      <c r="F34" s="13">
        <f t="shared" si="4"/>
        <v>3</v>
      </c>
      <c r="G34" s="13">
        <f>VLOOKUP(B34,'[3]BS cân đối NS xã (PL 9)'!$B$16:$L$115,9,FALSE)</f>
        <v>88064.453111715789</v>
      </c>
      <c r="H34" s="13">
        <f>VLOOKUP(B34,'[3]BS cân đối NS xã (PL 9)'!$B$16:$L$115,10,FALSE)</f>
        <v>22377.490033670994</v>
      </c>
      <c r="I34" s="545"/>
      <c r="J34" s="13">
        <f>VLOOKUP(B34,'[3]BS cân đối NS xã (PL 9)'!$B$16:$L$115,11,FALSE)</f>
        <v>111069.94314538679</v>
      </c>
    </row>
    <row r="35" spans="1:10" ht="18.75">
      <c r="A35" s="541">
        <v>24</v>
      </c>
      <c r="B35" s="542" t="s">
        <v>826</v>
      </c>
      <c r="C35" s="13">
        <f>VLOOKUP(B35,'[3]BS cân đối NS xã (PL 9)'!$B$16:$L$115,2,FALSE)</f>
        <v>1460</v>
      </c>
      <c r="D35" s="13">
        <f>VLOOKUP(B35,'[3]BS cân đối NS xã (PL 9)'!$B$17:$D$115,3,FALSE)</f>
        <v>1135</v>
      </c>
      <c r="E35" s="546">
        <v>920</v>
      </c>
      <c r="F35" s="13">
        <f t="shared" si="4"/>
        <v>215</v>
      </c>
      <c r="G35" s="13">
        <f>VLOOKUP(B35,'[3]BS cân đối NS xã (PL 9)'!$B$16:$L$115,9,FALSE)</f>
        <v>92117.307507982667</v>
      </c>
      <c r="H35" s="13">
        <f>VLOOKUP(B35,'[3]BS cân đối NS xã (PL 9)'!$B$16:$L$115,10,FALSE)</f>
        <v>27064.604925386797</v>
      </c>
      <c r="I35" s="545"/>
      <c r="J35" s="13">
        <f>VLOOKUP(B35,'[3]BS cân đối NS xã (PL 9)'!$B$16:$L$115,11,FALSE)</f>
        <v>120316.91243336946</v>
      </c>
    </row>
    <row r="36" spans="1:10" s="551" customFormat="1" ht="18.75">
      <c r="A36" s="547">
        <v>25</v>
      </c>
      <c r="B36" s="548" t="s">
        <v>827</v>
      </c>
      <c r="C36" s="13">
        <f>VLOOKUP(B36,'[3]BS cân đối NS xã (PL 9)'!$B$16:$L$115,2,FALSE)</f>
        <v>520</v>
      </c>
      <c r="D36" s="500">
        <f>VLOOKUP(B36,'[3]BS cân đối NS xã (PL 9)'!$B$17:$D$115,3,FALSE)</f>
        <v>513</v>
      </c>
      <c r="E36" s="550">
        <v>510</v>
      </c>
      <c r="F36" s="13">
        <f t="shared" si="4"/>
        <v>3</v>
      </c>
      <c r="G36" s="13">
        <f>VLOOKUP(B36,'[3]BS cân đối NS xã (PL 9)'!$B$16:$L$115,9,FALSE)</f>
        <v>64113.180091991868</v>
      </c>
      <c r="H36" s="13">
        <f>VLOOKUP(B36,'[3]BS cân đối NS xã (PL 9)'!$B$16:$L$115,10,FALSE)</f>
        <v>18799.603176390599</v>
      </c>
      <c r="I36" s="549"/>
      <c r="J36" s="13">
        <f>VLOOKUP(B36,'[3]BS cân đối NS xã (PL 9)'!$B$16:$L$115,11,FALSE)</f>
        <v>83425.783268382467</v>
      </c>
    </row>
    <row r="37" spans="1:10" ht="18.75">
      <c r="A37" s="541">
        <v>26</v>
      </c>
      <c r="B37" s="542" t="s">
        <v>828</v>
      </c>
      <c r="C37" s="13">
        <f>VLOOKUP(B37,'[3]BS cân đối NS xã (PL 9)'!$B$16:$L$115,2,FALSE)</f>
        <v>5500</v>
      </c>
      <c r="D37" s="13">
        <f>VLOOKUP(B37,'[3]BS cân đối NS xã (PL 9)'!$B$17:$D$115,3,FALSE)</f>
        <v>3591</v>
      </c>
      <c r="E37" s="546">
        <v>1950</v>
      </c>
      <c r="F37" s="13">
        <f t="shared" si="4"/>
        <v>1641</v>
      </c>
      <c r="G37" s="13">
        <f>VLOOKUP(B37,'[3]BS cân đối NS xã (PL 9)'!$B$16:$L$115,9,FALSE)</f>
        <v>97109.165112392293</v>
      </c>
      <c r="H37" s="13">
        <f>VLOOKUP(B37,'[3]BS cân đối NS xã (PL 9)'!$B$16:$L$115,10,FALSE)</f>
        <v>31906.146659888604</v>
      </c>
      <c r="I37" s="545"/>
      <c r="J37" s="13">
        <f>VLOOKUP(B37,'[3]BS cân đối NS xã (PL 9)'!$B$16:$L$115,11,FALSE)</f>
        <v>132606.3117722809</v>
      </c>
    </row>
    <row r="38" spans="1:10" ht="18.75">
      <c r="A38" s="541">
        <v>27</v>
      </c>
      <c r="B38" s="542" t="s">
        <v>829</v>
      </c>
      <c r="C38" s="13">
        <f>VLOOKUP(B38,'[3]BS cân đối NS xã (PL 9)'!$B$16:$L$115,2,FALSE)</f>
        <v>44860</v>
      </c>
      <c r="D38" s="13">
        <f>VLOOKUP(B38,'[3]BS cân đối NS xã (PL 9)'!$B$17:$D$115,3,FALSE)</f>
        <v>13343</v>
      </c>
      <c r="E38" s="546">
        <v>630</v>
      </c>
      <c r="F38" s="13">
        <f t="shared" si="4"/>
        <v>12713</v>
      </c>
      <c r="G38" s="13">
        <f>VLOOKUP(B38,'[3]BS cân đối NS xã (PL 9)'!$B$16:$L$115,9,FALSE)</f>
        <v>59066.511795163256</v>
      </c>
      <c r="H38" s="13">
        <f>VLOOKUP(B38,'[3]BS cân đối NS xã (PL 9)'!$B$16:$L$115,10,FALSE)</f>
        <v>20788.481602733798</v>
      </c>
      <c r="I38" s="545"/>
      <c r="J38" s="13">
        <f>VLOOKUP(B38,'[3]BS cân đối NS xã (PL 9)'!$B$16:$L$115,11,FALSE)</f>
        <v>93197.993397897051</v>
      </c>
    </row>
    <row r="39" spans="1:10" ht="18.75">
      <c r="A39" s="541">
        <v>28</v>
      </c>
      <c r="B39" s="542" t="s">
        <v>830</v>
      </c>
      <c r="C39" s="13">
        <f>VLOOKUP(B39,'[3]BS cân đối NS xã (PL 9)'!$B$16:$L$115,2,FALSE)</f>
        <v>1745110</v>
      </c>
      <c r="D39" s="13">
        <f>VLOOKUP(B39,'[3]BS cân đối NS xã (PL 9)'!$B$17:$D$115,3,FALSE)</f>
        <v>157285</v>
      </c>
      <c r="E39" s="546">
        <v>7930</v>
      </c>
      <c r="F39" s="13">
        <f t="shared" si="4"/>
        <v>149355</v>
      </c>
      <c r="G39" s="13">
        <f>VLOOKUP(B39,'[3]BS cân đối NS xã (PL 9)'!$B$16:$L$115,9,FALSE)</f>
        <v>84282.216486491146</v>
      </c>
      <c r="H39" s="13">
        <f>VLOOKUP(B39,'[3]BS cân đối NS xã (PL 9)'!$B$16:$L$115,10,FALSE)</f>
        <v>52170.482222444392</v>
      </c>
      <c r="I39" s="545"/>
      <c r="J39" s="13">
        <f>VLOOKUP(B39,'[3]BS cân đối NS xã (PL 9)'!$B$16:$L$115,11,FALSE)</f>
        <v>293737.69870893552</v>
      </c>
    </row>
    <row r="40" spans="1:10" ht="18.75">
      <c r="A40" s="541">
        <v>29</v>
      </c>
      <c r="B40" s="542" t="s">
        <v>831</v>
      </c>
      <c r="C40" s="13">
        <f>VLOOKUP(B40,'[3]BS cân đối NS xã (PL 9)'!$B$16:$L$115,2,FALSE)</f>
        <v>910</v>
      </c>
      <c r="D40" s="13">
        <f>VLOOKUP(B40,'[3]BS cân đối NS xã (PL 9)'!$B$17:$D$115,3,FALSE)</f>
        <v>840</v>
      </c>
      <c r="E40" s="546">
        <v>810</v>
      </c>
      <c r="F40" s="13">
        <f t="shared" si="4"/>
        <v>30</v>
      </c>
      <c r="G40" s="13">
        <f>VLOOKUP(B40,'[3]BS cân đối NS xã (PL 9)'!$B$16:$L$115,9,FALSE)</f>
        <v>82554.314509951306</v>
      </c>
      <c r="H40" s="13">
        <f>VLOOKUP(B40,'[3]BS cân đối NS xã (PL 9)'!$B$16:$L$115,10,FALSE)</f>
        <v>22785.9384128934</v>
      </c>
      <c r="I40" s="545"/>
      <c r="J40" s="13">
        <f>VLOOKUP(B40,'[3]BS cân đối NS xã (PL 9)'!$B$16:$L$115,11,FALSE)</f>
        <v>106180.25292284471</v>
      </c>
    </row>
    <row r="41" spans="1:10" ht="18.75">
      <c r="A41" s="541">
        <v>30</v>
      </c>
      <c r="B41" s="542" t="s">
        <v>832</v>
      </c>
      <c r="C41" s="13">
        <f>VLOOKUP(B41,'[3]BS cân đối NS xã (PL 9)'!$B$16:$L$115,2,FALSE)</f>
        <v>90475</v>
      </c>
      <c r="D41" s="13">
        <f>VLOOKUP(B41,'[3]BS cân đối NS xã (PL 9)'!$B$17:$D$115,3,FALSE)</f>
        <v>28840</v>
      </c>
      <c r="E41" s="546">
        <v>4275</v>
      </c>
      <c r="F41" s="13">
        <f t="shared" si="4"/>
        <v>24565</v>
      </c>
      <c r="G41" s="13">
        <f>VLOOKUP(B41,'[3]BS cân đối NS xã (PL 9)'!$B$16:$L$115,9,FALSE)</f>
        <v>100188.83508450702</v>
      </c>
      <c r="H41" s="13">
        <f>VLOOKUP(B41,'[3]BS cân đối NS xã (PL 9)'!$B$16:$L$115,10,FALSE)</f>
        <v>38997.089429264786</v>
      </c>
      <c r="I41" s="545"/>
      <c r="J41" s="13">
        <f>VLOOKUP(B41,'[3]BS cân đối NS xã (PL 9)'!$B$16:$L$115,11,FALSE)</f>
        <v>168025.92451377181</v>
      </c>
    </row>
    <row r="42" spans="1:10" ht="18.75">
      <c r="A42" s="541">
        <v>31</v>
      </c>
      <c r="B42" s="542" t="s">
        <v>833</v>
      </c>
      <c r="C42" s="13">
        <f>VLOOKUP(B42,'[3]BS cân đối NS xã (PL 9)'!$B$16:$L$115,2,FALSE)</f>
        <v>285</v>
      </c>
      <c r="D42" s="13">
        <f>VLOOKUP(B42,'[3]BS cân đối NS xã (PL 9)'!$B$17:$D$115,3,FALSE)</f>
        <v>260.5</v>
      </c>
      <c r="E42" s="546">
        <v>250</v>
      </c>
      <c r="F42" s="13">
        <f t="shared" si="4"/>
        <v>10.5</v>
      </c>
      <c r="G42" s="13">
        <f>VLOOKUP(B42,'[3]BS cân đối NS xã (PL 9)'!$B$16:$L$115,9,FALSE)</f>
        <v>70180.99732411858</v>
      </c>
      <c r="H42" s="13">
        <f>VLOOKUP(B42,'[3]BS cân đối NS xã (PL 9)'!$B$16:$L$115,10,FALSE)</f>
        <v>20597.484905607198</v>
      </c>
      <c r="I42" s="545"/>
      <c r="J42" s="13">
        <f>VLOOKUP(B42,'[3]BS cân đối NS xã (PL 9)'!$B$16:$L$115,11,FALSE)</f>
        <v>91038.982229725778</v>
      </c>
    </row>
    <row r="43" spans="1:10" ht="18.75">
      <c r="A43" s="541">
        <v>32</v>
      </c>
      <c r="B43" s="542" t="s">
        <v>834</v>
      </c>
      <c r="C43" s="13">
        <f>VLOOKUP(B43,'[3]BS cân đối NS xã (PL 9)'!$B$16:$L$115,2,FALSE)</f>
        <v>48895</v>
      </c>
      <c r="D43" s="13">
        <f>VLOOKUP(B43,'[3]BS cân đối NS xã (PL 9)'!$B$17:$D$115,3,FALSE)</f>
        <v>14385</v>
      </c>
      <c r="E43" s="546">
        <v>395</v>
      </c>
      <c r="F43" s="13">
        <f t="shared" si="4"/>
        <v>13990</v>
      </c>
      <c r="G43" s="13">
        <f>VLOOKUP(B43,'[3]BS cân đối NS xã (PL 9)'!$B$16:$L$115,9,FALSE)</f>
        <v>36866.530132360087</v>
      </c>
      <c r="H43" s="13">
        <f>VLOOKUP(B43,'[3]BS cân đối NS xã (PL 9)'!$B$16:$L$115,10,FALSE)</f>
        <v>14256.8455372996</v>
      </c>
      <c r="I43" s="545"/>
      <c r="J43" s="13">
        <f>VLOOKUP(B43,'[3]BS cân đối NS xã (PL 9)'!$B$16:$L$115,11,FALSE)</f>
        <v>65508.375669659683</v>
      </c>
    </row>
    <row r="44" spans="1:10" ht="18.75">
      <c r="A44" s="541">
        <v>33</v>
      </c>
      <c r="B44" s="542" t="s">
        <v>835</v>
      </c>
      <c r="C44" s="13">
        <f>VLOOKUP(B44,'[3]BS cân đối NS xã (PL 9)'!$B$16:$L$115,2,FALSE)</f>
        <v>1095</v>
      </c>
      <c r="D44" s="13">
        <f>VLOOKUP(B44,'[3]BS cân đối NS xã (PL 9)'!$B$17:$D$115,3,FALSE)</f>
        <v>762</v>
      </c>
      <c r="E44" s="546">
        <v>595</v>
      </c>
      <c r="F44" s="13">
        <f t="shared" si="4"/>
        <v>167</v>
      </c>
      <c r="G44" s="13">
        <f>VLOOKUP(B44,'[3]BS cân đối NS xã (PL 9)'!$B$16:$L$115,9,FALSE)</f>
        <v>113984.7721430143</v>
      </c>
      <c r="H44" s="13">
        <f>VLOOKUP(B44,'[3]BS cân đối NS xã (PL 9)'!$B$16:$L$115,10,FALSE)</f>
        <v>34510.839099828394</v>
      </c>
      <c r="I44" s="545"/>
      <c r="J44" s="13">
        <f>VLOOKUP(B44,'[3]BS cân đối NS xã (PL 9)'!$B$16:$L$115,11,FALSE)</f>
        <v>149257.61124284269</v>
      </c>
    </row>
    <row r="45" spans="1:10" ht="18.75">
      <c r="A45" s="541">
        <v>34</v>
      </c>
      <c r="B45" s="542" t="s">
        <v>836</v>
      </c>
      <c r="C45" s="13">
        <f>VLOOKUP(B45,'[3]BS cân đối NS xã (PL 9)'!$B$16:$L$115,2,FALSE)</f>
        <v>185600</v>
      </c>
      <c r="D45" s="13">
        <f>VLOOKUP(B45,'[3]BS cân đối NS xã (PL 9)'!$B$17:$D$115,3,FALSE)</f>
        <v>145795</v>
      </c>
      <c r="E45" s="546">
        <v>2890</v>
      </c>
      <c r="F45" s="13">
        <f t="shared" si="4"/>
        <v>142905</v>
      </c>
      <c r="G45" s="13">
        <f>VLOOKUP(B45,'[3]BS cân đối NS xã (PL 9)'!$B$16:$L$115,9,FALSE)</f>
        <v>214188.23420010682</v>
      </c>
      <c r="H45" s="13">
        <f>VLOOKUP(B45,'[3]BS cân đối NS xã (PL 9)'!$B$16:$L$115,10,FALSE)</f>
        <v>70013.353431615396</v>
      </c>
      <c r="I45" s="545"/>
      <c r="J45" s="13">
        <f>VLOOKUP(B45,'[3]BS cân đối NS xã (PL 9)'!$B$16:$L$115,11,FALSE)</f>
        <v>429996.58763172221</v>
      </c>
    </row>
    <row r="46" spans="1:10" ht="18.75">
      <c r="A46" s="541">
        <v>35</v>
      </c>
      <c r="B46" s="542" t="s">
        <v>837</v>
      </c>
      <c r="C46" s="13">
        <f>VLOOKUP(B46,'[3]BS cân đối NS xã (PL 9)'!$B$16:$L$115,2,FALSE)</f>
        <v>29915</v>
      </c>
      <c r="D46" s="13">
        <f>VLOOKUP(B46,'[3]BS cân đối NS xã (PL 9)'!$B$17:$D$115,3,FALSE)</f>
        <v>7415</v>
      </c>
      <c r="E46" s="546">
        <v>1345</v>
      </c>
      <c r="F46" s="13">
        <f t="shared" si="4"/>
        <v>6070</v>
      </c>
      <c r="G46" s="13">
        <f>VLOOKUP(B46,'[3]BS cân đối NS xã (PL 9)'!$B$16:$L$115,9,FALSE)</f>
        <v>209991.51231608563</v>
      </c>
      <c r="H46" s="13">
        <f>VLOOKUP(B46,'[3]BS cân đối NS xã (PL 9)'!$B$16:$L$115,10,FALSE)</f>
        <v>67165.958996571993</v>
      </c>
      <c r="I46" s="545"/>
      <c r="J46" s="13">
        <f>VLOOKUP(B46,'[3]BS cân đối NS xã (PL 9)'!$B$16:$L$115,11,FALSE)</f>
        <v>284572.47131265764</v>
      </c>
    </row>
    <row r="47" spans="1:10" ht="18.75">
      <c r="A47" s="541">
        <v>36</v>
      </c>
      <c r="B47" s="542" t="s">
        <v>838</v>
      </c>
      <c r="C47" s="13">
        <f>VLOOKUP(B47,'[3]BS cân đối NS xã (PL 9)'!$B$16:$L$115,2,FALSE)</f>
        <v>1145</v>
      </c>
      <c r="D47" s="13">
        <f>VLOOKUP(B47,'[3]BS cân đối NS xã (PL 9)'!$B$17:$D$115,3,FALSE)</f>
        <v>919.5</v>
      </c>
      <c r="E47" s="546">
        <v>760</v>
      </c>
      <c r="F47" s="13">
        <f t="shared" si="4"/>
        <v>159.5</v>
      </c>
      <c r="G47" s="13">
        <f>VLOOKUP(B47,'[3]BS cân đối NS xã (PL 9)'!$B$16:$L$115,9,FALSE)</f>
        <v>108486.78553431889</v>
      </c>
      <c r="H47" s="13">
        <f>VLOOKUP(B47,'[3]BS cân đối NS xã (PL 9)'!$B$16:$L$115,10,FALSE)</f>
        <v>29457.830821005598</v>
      </c>
      <c r="I47" s="545"/>
      <c r="J47" s="13">
        <f>VLOOKUP(B47,'[3]BS cân đối NS xã (PL 9)'!$B$16:$L$115,11,FALSE)</f>
        <v>138864.11635532448</v>
      </c>
    </row>
    <row r="48" spans="1:10" ht="18.75">
      <c r="A48" s="541">
        <v>37</v>
      </c>
      <c r="B48" s="542" t="s">
        <v>839</v>
      </c>
      <c r="C48" s="13">
        <f>VLOOKUP(B48,'[3]BS cân đối NS xã (PL 9)'!$B$16:$L$115,2,FALSE)</f>
        <v>69273</v>
      </c>
      <c r="D48" s="13">
        <f>VLOOKUP(B48,'[3]BS cân đối NS xã (PL 9)'!$B$17:$D$115,3,FALSE)</f>
        <v>45985.5</v>
      </c>
      <c r="E48" s="546">
        <v>6720</v>
      </c>
      <c r="F48" s="13">
        <f t="shared" si="4"/>
        <v>39265.5</v>
      </c>
      <c r="G48" s="13">
        <f>VLOOKUP(B48,'[3]BS cân đối NS xã (PL 9)'!$B$16:$L$115,9,FALSE)</f>
        <v>107851.84879814595</v>
      </c>
      <c r="H48" s="13">
        <f>VLOOKUP(B48,'[3]BS cân đối NS xã (PL 9)'!$B$16:$L$115,10,FALSE)</f>
        <v>39180.097867670404</v>
      </c>
      <c r="I48" s="545"/>
      <c r="J48" s="13">
        <f>VLOOKUP(B48,'[3]BS cân đối NS xã (PL 9)'!$B$16:$L$115,11,FALSE)</f>
        <v>193017.44666581636</v>
      </c>
    </row>
    <row r="49" spans="1:10" ht="18.75">
      <c r="A49" s="541">
        <v>38</v>
      </c>
      <c r="B49" s="542" t="s">
        <v>840</v>
      </c>
      <c r="C49" s="13">
        <f>VLOOKUP(B49,'[3]BS cân đối NS xã (PL 9)'!$B$16:$L$115,2,FALSE)</f>
        <v>10440</v>
      </c>
      <c r="D49" s="13">
        <f>VLOOKUP(B49,'[3]BS cân đối NS xã (PL 9)'!$B$17:$D$115,3,FALSE)</f>
        <v>4571</v>
      </c>
      <c r="E49" s="546">
        <v>2070</v>
      </c>
      <c r="F49" s="13">
        <f t="shared" si="4"/>
        <v>2501</v>
      </c>
      <c r="G49" s="13">
        <f>VLOOKUP(B49,'[3]BS cân đối NS xã (PL 9)'!$B$16:$L$115,9,FALSE)</f>
        <v>77728.574264681214</v>
      </c>
      <c r="H49" s="13">
        <f>VLOOKUP(B49,'[3]BS cân đối NS xã (PL 9)'!$B$16:$L$115,10,FALSE)</f>
        <v>22984.922843093995</v>
      </c>
      <c r="I49" s="545"/>
      <c r="J49" s="13">
        <f>VLOOKUP(B49,'[3]BS cân đối NS xã (PL 9)'!$B$16:$L$115,11,FALSE)</f>
        <v>105284.49710777521</v>
      </c>
    </row>
    <row r="50" spans="1:10" ht="18.75">
      <c r="A50" s="541">
        <v>39</v>
      </c>
      <c r="B50" s="542" t="s">
        <v>841</v>
      </c>
      <c r="C50" s="13">
        <f>VLOOKUP(B50,'[3]BS cân đối NS xã (PL 9)'!$B$16:$L$115,2,FALSE)</f>
        <v>112020</v>
      </c>
      <c r="D50" s="13">
        <f>VLOOKUP(B50,'[3]BS cân đối NS xã (PL 9)'!$B$17:$D$115,3,FALSE)</f>
        <v>82135</v>
      </c>
      <c r="E50" s="546">
        <v>6810</v>
      </c>
      <c r="F50" s="13">
        <f t="shared" si="4"/>
        <v>75325</v>
      </c>
      <c r="G50" s="13">
        <f>VLOOKUP(B50,'[3]BS cân đối NS xã (PL 9)'!$B$16:$L$115,9,FALSE)</f>
        <v>130818.73165940357</v>
      </c>
      <c r="H50" s="13">
        <f>VLOOKUP(B50,'[3]BS cân đối NS xã (PL 9)'!$B$16:$L$115,10,FALSE)</f>
        <v>44532.361713382386</v>
      </c>
      <c r="I50" s="545"/>
      <c r="J50" s="13">
        <f>VLOOKUP(B50,'[3]BS cân đối NS xã (PL 9)'!$B$16:$L$115,11,FALSE)</f>
        <v>257486.09337278595</v>
      </c>
    </row>
    <row r="51" spans="1:10" ht="18.75">
      <c r="A51" s="541">
        <v>40</v>
      </c>
      <c r="B51" s="542" t="s">
        <v>842</v>
      </c>
      <c r="C51" s="13">
        <f>VLOOKUP(B51,'[3]BS cân đối NS xã (PL 9)'!$B$16:$L$115,2,FALSE)</f>
        <v>17480</v>
      </c>
      <c r="D51" s="13">
        <f>VLOOKUP(B51,'[3]BS cân đối NS xã (PL 9)'!$B$17:$D$115,3,FALSE)</f>
        <v>6134</v>
      </c>
      <c r="E51" s="546">
        <v>1530</v>
      </c>
      <c r="F51" s="13">
        <f t="shared" si="4"/>
        <v>4604</v>
      </c>
      <c r="G51" s="13">
        <f>VLOOKUP(B51,'[3]BS cân đối NS xã (PL 9)'!$B$16:$L$115,9,FALSE)</f>
        <v>56473.164417471897</v>
      </c>
      <c r="H51" s="13">
        <f>VLOOKUP(B51,'[3]BS cân đối NS xã (PL 9)'!$B$16:$L$115,10,FALSE)</f>
        <v>17987.897178990592</v>
      </c>
      <c r="I51" s="545"/>
      <c r="J51" s="13">
        <f>VLOOKUP(B51,'[3]BS cân đối NS xã (PL 9)'!$B$16:$L$115,11,FALSE)</f>
        <v>80595.061596462489</v>
      </c>
    </row>
    <row r="52" spans="1:10" ht="18.75">
      <c r="A52" s="541">
        <v>41</v>
      </c>
      <c r="B52" s="542" t="s">
        <v>843</v>
      </c>
      <c r="C52" s="13">
        <f>VLOOKUP(B52,'[3]BS cân đối NS xã (PL 9)'!$B$16:$L$115,2,FALSE)</f>
        <v>6110</v>
      </c>
      <c r="D52" s="13">
        <f>VLOOKUP(B52,'[3]BS cân đối NS xã (PL 9)'!$B$17:$D$115,3,FALSE)</f>
        <v>2374</v>
      </c>
      <c r="E52" s="546">
        <v>830</v>
      </c>
      <c r="F52" s="13">
        <f t="shared" si="4"/>
        <v>1544</v>
      </c>
      <c r="G52" s="13">
        <f>VLOOKUP(B52,'[3]BS cân đối NS xã (PL 9)'!$B$16:$L$115,9,FALSE)</f>
        <v>64543.679068278783</v>
      </c>
      <c r="H52" s="13">
        <f>VLOOKUP(B52,'[3]BS cân đối NS xã (PL 9)'!$B$16:$L$115,10,FALSE)</f>
        <v>19349.610812106002</v>
      </c>
      <c r="I52" s="545"/>
      <c r="J52" s="13">
        <f>VLOOKUP(B52,'[3]BS cân đối NS xã (PL 9)'!$B$16:$L$115,11,FALSE)</f>
        <v>86267.289880384778</v>
      </c>
    </row>
    <row r="53" spans="1:10" ht="18.75">
      <c r="A53" s="541">
        <v>42</v>
      </c>
      <c r="B53" s="542" t="s">
        <v>844</v>
      </c>
      <c r="C53" s="13">
        <f>VLOOKUP(B53,'[3]BS cân đối NS xã (PL 9)'!$B$16:$L$115,2,FALSE)</f>
        <v>1380</v>
      </c>
      <c r="D53" s="13">
        <f>VLOOKUP(B53,'[3]BS cân đối NS xã (PL 9)'!$B$17:$D$115,3,FALSE)</f>
        <v>1173</v>
      </c>
      <c r="E53" s="546">
        <v>1050</v>
      </c>
      <c r="F53" s="13">
        <f t="shared" si="4"/>
        <v>123</v>
      </c>
      <c r="G53" s="13">
        <f>VLOOKUP(B53,'[3]BS cân đối NS xã (PL 9)'!$B$16:$L$115,9,FALSE)</f>
        <v>64202.085310554925</v>
      </c>
      <c r="H53" s="13">
        <f>VLOOKUP(B53,'[3]BS cân đối NS xã (PL 9)'!$B$16:$L$115,10,FALSE)</f>
        <v>18594.219473925194</v>
      </c>
      <c r="I53" s="545"/>
      <c r="J53" s="13">
        <f>VLOOKUP(B53,'[3]BS cân đối NS xã (PL 9)'!$B$16:$L$115,11,FALSE)</f>
        <v>83969.304784480119</v>
      </c>
    </row>
    <row r="54" spans="1:10" ht="18.75">
      <c r="A54" s="541">
        <v>43</v>
      </c>
      <c r="B54" s="542" t="s">
        <v>845</v>
      </c>
      <c r="C54" s="13">
        <f>VLOOKUP(B54,'[3]BS cân đối NS xã (PL 9)'!$B$16:$L$115,2,FALSE)</f>
        <v>700</v>
      </c>
      <c r="D54" s="13">
        <f>VLOOKUP(B54,'[3]BS cân đối NS xã (PL 9)'!$B$17:$D$115,3,FALSE)</f>
        <v>345</v>
      </c>
      <c r="E54" s="546">
        <v>190</v>
      </c>
      <c r="F54" s="13">
        <f t="shared" si="4"/>
        <v>155</v>
      </c>
      <c r="G54" s="13">
        <f>VLOOKUP(B54,'[3]BS cân đối NS xã (PL 9)'!$B$16:$L$115,9,FALSE)</f>
        <v>56629.168695446759</v>
      </c>
      <c r="H54" s="13">
        <f>VLOOKUP(B54,'[3]BS cân đối NS xã (PL 9)'!$B$16:$L$115,10,FALSE)</f>
        <v>16618.689311716196</v>
      </c>
      <c r="I54" s="545"/>
      <c r="J54" s="13">
        <f>VLOOKUP(B54,'[3]BS cân đối NS xã (PL 9)'!$B$16:$L$115,11,FALSE)</f>
        <v>73592.858007162955</v>
      </c>
    </row>
    <row r="55" spans="1:10" ht="18.75">
      <c r="A55" s="541">
        <v>44</v>
      </c>
      <c r="B55" s="542" t="s">
        <v>846</v>
      </c>
      <c r="C55" s="13">
        <f>VLOOKUP(B55,'[3]BS cân đối NS xã (PL 9)'!$B$16:$L$115,2,FALSE)</f>
        <v>45990</v>
      </c>
      <c r="D55" s="13">
        <f>VLOOKUP(B55,'[3]BS cân đối NS xã (PL 9)'!$B$17:$D$115,3,FALSE)</f>
        <v>13525</v>
      </c>
      <c r="E55" s="546">
        <v>140</v>
      </c>
      <c r="F55" s="13">
        <f t="shared" si="4"/>
        <v>13385</v>
      </c>
      <c r="G55" s="13">
        <f>VLOOKUP(B55,'[3]BS cân đối NS xã (PL 9)'!$B$16:$L$115,9,FALSE)</f>
        <v>13298.949424602561</v>
      </c>
      <c r="H55" s="13">
        <f>VLOOKUP(B55,'[3]BS cân đối NS xã (PL 9)'!$B$16:$L$115,10,FALSE)</f>
        <v>6406.788338187198</v>
      </c>
      <c r="I55" s="545"/>
      <c r="J55" s="13">
        <f>VLOOKUP(B55,'[3]BS cân đối NS xã (PL 9)'!$B$16:$L$115,11,FALSE)</f>
        <v>33230.737762789759</v>
      </c>
    </row>
    <row r="56" spans="1:10" s="551" customFormat="1" ht="18.75">
      <c r="A56" s="547">
        <v>45</v>
      </c>
      <c r="B56" s="548" t="s">
        <v>847</v>
      </c>
      <c r="C56" s="13">
        <f>VLOOKUP(B56,'[3]BS cân đối NS xã (PL 9)'!$B$16:$L$115,2,FALSE)</f>
        <v>6500</v>
      </c>
      <c r="D56" s="500">
        <f>VLOOKUP(B56,'[3]BS cân đối NS xã (PL 9)'!$B$17:$D$115,3,FALSE)</f>
        <v>2890</v>
      </c>
      <c r="E56" s="550">
        <v>1540</v>
      </c>
      <c r="F56" s="13">
        <f t="shared" si="4"/>
        <v>1350</v>
      </c>
      <c r="G56" s="13">
        <f>VLOOKUP(B56,'[3]BS cân đối NS xã (PL 9)'!$B$16:$L$115,9,FALSE)</f>
        <v>151050.66296451673</v>
      </c>
      <c r="H56" s="13">
        <f>VLOOKUP(B56,'[3]BS cân đối NS xã (PL 9)'!$B$16:$L$115,10,FALSE)</f>
        <v>50283.290709766588</v>
      </c>
      <c r="I56" s="549"/>
      <c r="J56" s="13">
        <f>VLOOKUP(B56,'[3]BS cân đối NS xã (PL 9)'!$B$16:$L$115,11,FALSE)</f>
        <v>204223.95367428332</v>
      </c>
    </row>
    <row r="57" spans="1:10" ht="18.75">
      <c r="A57" s="543">
        <v>46</v>
      </c>
      <c r="B57" s="542" t="s">
        <v>848</v>
      </c>
      <c r="C57" s="13">
        <f>VLOOKUP(B57,'[3]BS cân đối NS xã (PL 9)'!$B$16:$L$115,2,FALSE)</f>
        <v>66385</v>
      </c>
      <c r="D57" s="13">
        <f>VLOOKUP(B57,'[3]BS cân đối NS xã (PL 9)'!$B$17:$D$115,3,FALSE)</f>
        <v>48447.5</v>
      </c>
      <c r="E57" s="546">
        <v>4485</v>
      </c>
      <c r="F57" s="13">
        <f t="shared" si="4"/>
        <v>43962.5</v>
      </c>
      <c r="G57" s="13">
        <f>VLOOKUP(B57,'[3]BS cân đối NS xã (PL 9)'!$B$16:$L$115,9,FALSE)</f>
        <v>213837.49010658276</v>
      </c>
      <c r="H57" s="13">
        <f>VLOOKUP(B57,'[3]BS cân đối NS xã (PL 9)'!$B$16:$L$115,10,FALSE)</f>
        <v>72039.00644658599</v>
      </c>
      <c r="I57" s="545"/>
      <c r="J57" s="13">
        <f>VLOOKUP(B57,'[3]BS cân đối NS xã (PL 9)'!$B$16:$L$115,11,FALSE)</f>
        <v>334323.99655316875</v>
      </c>
    </row>
    <row r="58" spans="1:10" ht="18.75">
      <c r="A58" s="541">
        <v>47</v>
      </c>
      <c r="B58" s="542" t="s">
        <v>849</v>
      </c>
      <c r="C58" s="13">
        <f>VLOOKUP(B58,'[3]BS cân đối NS xã (PL 9)'!$B$16:$L$115,2,FALSE)</f>
        <v>2400</v>
      </c>
      <c r="D58" s="13">
        <f>VLOOKUP(B58,'[3]BS cân đối NS xã (PL 9)'!$B$17:$D$115,3,FALSE)</f>
        <v>1610</v>
      </c>
      <c r="E58" s="546">
        <v>1130</v>
      </c>
      <c r="F58" s="13">
        <f t="shared" si="4"/>
        <v>480</v>
      </c>
      <c r="G58" s="13">
        <f>VLOOKUP(B58,'[3]BS cân đối NS xã (PL 9)'!$B$16:$L$115,9,FALSE)</f>
        <v>120395.05299781237</v>
      </c>
      <c r="H58" s="13">
        <f>VLOOKUP(B58,'[3]BS cân đối NS xã (PL 9)'!$B$16:$L$115,10,FALSE)</f>
        <v>34190.365131437989</v>
      </c>
      <c r="I58" s="545"/>
      <c r="J58" s="13">
        <f>VLOOKUP(B58,'[3]BS cân đối NS xã (PL 9)'!$B$16:$L$115,11,FALSE)</f>
        <v>156195.41812925035</v>
      </c>
    </row>
    <row r="59" spans="1:10" ht="18.75">
      <c r="A59" s="541">
        <v>48</v>
      </c>
      <c r="B59" s="542" t="s">
        <v>850</v>
      </c>
      <c r="C59" s="13">
        <f>VLOOKUP(B59,'[3]BS cân đối NS xã (PL 9)'!$B$16:$L$115,2,FALSE)</f>
        <v>550</v>
      </c>
      <c r="D59" s="13">
        <f>VLOOKUP(B59,'[3]BS cân đối NS xã (PL 9)'!$B$17:$D$115,3,FALSE)</f>
        <v>511</v>
      </c>
      <c r="E59" s="546">
        <v>480</v>
      </c>
      <c r="F59" s="13">
        <f t="shared" si="4"/>
        <v>31</v>
      </c>
      <c r="G59" s="13">
        <f>VLOOKUP(B59,'[3]BS cân đối NS xã (PL 9)'!$B$16:$L$115,9,FALSE)</f>
        <v>118272.40538912843</v>
      </c>
      <c r="H59" s="13">
        <f>VLOOKUP(B59,'[3]BS cân đối NS xã (PL 9)'!$B$16:$L$115,10,FALSE)</f>
        <v>34257.72556985799</v>
      </c>
      <c r="I59" s="545"/>
      <c r="J59" s="13">
        <f>VLOOKUP(B59,'[3]BS cân đối NS xã (PL 9)'!$B$16:$L$115,11,FALSE)</f>
        <v>153041.13095898641</v>
      </c>
    </row>
    <row r="60" spans="1:10" ht="18.75">
      <c r="A60" s="541">
        <v>49</v>
      </c>
      <c r="B60" s="544" t="s">
        <v>851</v>
      </c>
      <c r="C60" s="13">
        <f>VLOOKUP(B60,'[3]BS cân đối NS xã (PL 9)'!$B$16:$L$115,2,FALSE)</f>
        <v>133630</v>
      </c>
      <c r="D60" s="13">
        <f>VLOOKUP(B60,'[3]BS cân đối NS xã (PL 9)'!$B$17:$D$115,3,FALSE)</f>
        <v>33725</v>
      </c>
      <c r="E60" s="546">
        <v>800</v>
      </c>
      <c r="F60" s="13">
        <f t="shared" si="4"/>
        <v>32925</v>
      </c>
      <c r="G60" s="13">
        <f>VLOOKUP(B60,'[3]BS cân đối NS xã (PL 9)'!$B$16:$L$115,9,FALSE)</f>
        <v>40477.016829450513</v>
      </c>
      <c r="H60" s="13">
        <f>VLOOKUP(B60,'[3]BS cân đối NS xã (PL 9)'!$B$16:$L$115,10,FALSE)</f>
        <v>18167.865489397398</v>
      </c>
      <c r="I60" s="545"/>
      <c r="J60" s="13">
        <f>VLOOKUP(B60,'[3]BS cân đối NS xã (PL 9)'!$B$16:$L$115,11,FALSE)</f>
        <v>92369.882318847915</v>
      </c>
    </row>
    <row r="61" spans="1:10" ht="18.75">
      <c r="A61" s="541">
        <v>50</v>
      </c>
      <c r="B61" s="544" t="s">
        <v>852</v>
      </c>
      <c r="C61" s="13">
        <f>VLOOKUP(B61,'[3]BS cân đối NS xã (PL 9)'!$B$16:$L$115,2,FALSE)</f>
        <v>211800</v>
      </c>
      <c r="D61" s="13">
        <f>VLOOKUP(B61,'[3]BS cân đối NS xã (PL 9)'!$B$17:$D$115,3,FALSE)</f>
        <v>22750</v>
      </c>
      <c r="E61" s="546">
        <v>3600</v>
      </c>
      <c r="F61" s="13">
        <f t="shared" si="4"/>
        <v>19150</v>
      </c>
      <c r="G61" s="13">
        <f>VLOOKUP(B61,'[3]BS cân đối NS xã (PL 9)'!$B$16:$L$115,9,FALSE)</f>
        <v>119943.1201143291</v>
      </c>
      <c r="H61" s="13">
        <f>VLOOKUP(B61,'[3]BS cân đối NS xã (PL 9)'!$B$16:$L$115,10,FALSE)</f>
        <v>31092.399605754399</v>
      </c>
      <c r="I61" s="545"/>
      <c r="J61" s="13">
        <f>VLOOKUP(B61,'[3]BS cân đối NS xã (PL 9)'!$B$16:$L$115,11,FALSE)</f>
        <v>173785.51972008351</v>
      </c>
    </row>
    <row r="62" spans="1:10" ht="18.75">
      <c r="A62" s="541">
        <v>51</v>
      </c>
      <c r="B62" s="544" t="s">
        <v>853</v>
      </c>
      <c r="C62" s="13">
        <f>VLOOKUP(B62,'[3]BS cân đối NS xã (PL 9)'!$B$16:$L$115,2,FALSE)</f>
        <v>22000</v>
      </c>
      <c r="D62" s="13">
        <f>VLOOKUP(B62,'[3]BS cân đối NS xã (PL 9)'!$B$17:$D$115,3,FALSE)</f>
        <v>9110</v>
      </c>
      <c r="E62" s="546">
        <v>3500</v>
      </c>
      <c r="F62" s="13">
        <f t="shared" si="4"/>
        <v>5610</v>
      </c>
      <c r="G62" s="13">
        <f>VLOOKUP(B62,'[3]BS cân đối NS xã (PL 9)'!$B$16:$L$115,9,FALSE)</f>
        <v>107903.22270853503</v>
      </c>
      <c r="H62" s="13">
        <f>VLOOKUP(B62,'[3]BS cân đối NS xã (PL 9)'!$B$16:$L$115,10,FALSE)</f>
        <v>28404.465238124794</v>
      </c>
      <c r="I62" s="545"/>
      <c r="J62" s="13">
        <f>VLOOKUP(B62,'[3]BS cân đối NS xã (PL 9)'!$B$16:$L$115,11,FALSE)</f>
        <v>145417.68794665983</v>
      </c>
    </row>
    <row r="63" spans="1:10" ht="18.75">
      <c r="A63" s="541">
        <v>52</v>
      </c>
      <c r="B63" s="544" t="s">
        <v>854</v>
      </c>
      <c r="C63" s="13">
        <f>VLOOKUP(B63,'[3]BS cân đối NS xã (PL 9)'!$B$16:$L$115,2,FALSE)</f>
        <v>7550</v>
      </c>
      <c r="D63" s="13">
        <f>VLOOKUP(B63,'[3]BS cân đối NS xã (PL 9)'!$B$17:$D$115,3,FALSE)</f>
        <v>2325</v>
      </c>
      <c r="E63" s="546">
        <v>400</v>
      </c>
      <c r="F63" s="13">
        <f t="shared" si="4"/>
        <v>1925</v>
      </c>
      <c r="G63" s="13">
        <f>VLOOKUP(B63,'[3]BS cân đối NS xã (PL 9)'!$B$16:$L$115,9,FALSE)</f>
        <v>28363.424539222684</v>
      </c>
      <c r="H63" s="13">
        <f>VLOOKUP(B63,'[3]BS cân đối NS xã (PL 9)'!$B$16:$L$115,10,FALSE)</f>
        <v>6032.6702237365998</v>
      </c>
      <c r="I63" s="545"/>
      <c r="J63" s="13">
        <f>VLOOKUP(B63,'[3]BS cân đối NS xã (PL 9)'!$B$16:$L$115,11,FALSE)</f>
        <v>36721.094762959285</v>
      </c>
    </row>
    <row r="64" spans="1:10" ht="18.75">
      <c r="A64" s="541">
        <v>53</v>
      </c>
      <c r="B64" s="544" t="s">
        <v>855</v>
      </c>
      <c r="C64" s="13">
        <f>VLOOKUP(B64,'[3]BS cân đối NS xã (PL 9)'!$B$16:$L$115,2,FALSE)</f>
        <v>3100</v>
      </c>
      <c r="D64" s="13">
        <f>VLOOKUP(B64,'[3]BS cân đối NS xã (PL 9)'!$B$17:$D$115,3,FALSE)</f>
        <v>1485</v>
      </c>
      <c r="E64" s="546">
        <v>800</v>
      </c>
      <c r="F64" s="13">
        <f t="shared" si="4"/>
        <v>685</v>
      </c>
      <c r="G64" s="13">
        <f>VLOOKUP(B64,'[3]BS cân đối NS xã (PL 9)'!$B$16:$L$115,9,FALSE)</f>
        <v>68417.828627143812</v>
      </c>
      <c r="H64" s="13">
        <f>VLOOKUP(B64,'[3]BS cân đối NS xã (PL 9)'!$B$16:$L$115,10,FALSE)</f>
        <v>15071.077391530995</v>
      </c>
      <c r="I64" s="545"/>
      <c r="J64" s="13">
        <f>VLOOKUP(B64,'[3]BS cân đối NS xã (PL 9)'!$B$16:$L$115,11,FALSE)</f>
        <v>84973.90601867481</v>
      </c>
    </row>
    <row r="65" spans="1:10" ht="18.75">
      <c r="A65" s="541">
        <v>54</v>
      </c>
      <c r="B65" s="544" t="s">
        <v>856</v>
      </c>
      <c r="C65" s="13">
        <f>VLOOKUP(B65,'[3]BS cân đối NS xã (PL 9)'!$B$16:$L$115,2,FALSE)</f>
        <v>400</v>
      </c>
      <c r="D65" s="13">
        <f>VLOOKUP(B65,'[3]BS cân đối NS xã (PL 9)'!$B$17:$D$115,3,FALSE)</f>
        <v>386</v>
      </c>
      <c r="E65" s="546">
        <v>380</v>
      </c>
      <c r="F65" s="13">
        <f t="shared" si="4"/>
        <v>6</v>
      </c>
      <c r="G65" s="13">
        <f>VLOOKUP(B65,'[3]BS cân đối NS xã (PL 9)'!$B$16:$L$115,9,FALSE)</f>
        <v>67898.241758790289</v>
      </c>
      <c r="H65" s="13">
        <f>VLOOKUP(B65,'[3]BS cân đối NS xã (PL 9)'!$B$16:$L$115,10,FALSE)</f>
        <v>16918.782740398598</v>
      </c>
      <c r="I65" s="545"/>
      <c r="J65" s="13">
        <f>VLOOKUP(B65,'[3]BS cân đối NS xã (PL 9)'!$B$16:$L$115,11,FALSE)</f>
        <v>85203.02449918889</v>
      </c>
    </row>
    <row r="66" spans="1:10" ht="18.75">
      <c r="A66" s="541">
        <v>55</v>
      </c>
      <c r="B66" s="544" t="s">
        <v>857</v>
      </c>
      <c r="C66" s="13">
        <f>VLOOKUP(B66,'[3]BS cân đối NS xã (PL 9)'!$B$16:$L$115,2,FALSE)</f>
        <v>2000</v>
      </c>
      <c r="D66" s="13">
        <f>VLOOKUP(B66,'[3]BS cân đối NS xã (PL 9)'!$B$17:$D$115,3,FALSE)</f>
        <v>1520</v>
      </c>
      <c r="E66" s="546">
        <v>1200</v>
      </c>
      <c r="F66" s="13">
        <f t="shared" si="4"/>
        <v>320</v>
      </c>
      <c r="G66" s="13">
        <f>VLOOKUP(B66,'[3]BS cân đối NS xã (PL 9)'!$B$16:$L$115,9,FALSE)</f>
        <v>79564.250985036284</v>
      </c>
      <c r="H66" s="13">
        <f>VLOOKUP(B66,'[3]BS cân đối NS xã (PL 9)'!$B$16:$L$115,10,FALSE)</f>
        <v>17290.690111668599</v>
      </c>
      <c r="I66" s="545"/>
      <c r="J66" s="13">
        <f>VLOOKUP(B66,'[3]BS cân đối NS xã (PL 9)'!$B$16:$L$115,11,FALSE)</f>
        <v>98374.941096704875</v>
      </c>
    </row>
    <row r="67" spans="1:10" ht="18.75">
      <c r="A67" s="541">
        <v>56</v>
      </c>
      <c r="B67" s="544" t="s">
        <v>858</v>
      </c>
      <c r="C67" s="13">
        <f>VLOOKUP(B67,'[3]BS cân đối NS xã (PL 9)'!$B$16:$L$115,2,FALSE)</f>
        <v>4070</v>
      </c>
      <c r="D67" s="13">
        <f>VLOOKUP(B67,'[3]BS cân đối NS xã (PL 9)'!$B$17:$D$115,3,FALSE)</f>
        <v>1992.5</v>
      </c>
      <c r="E67" s="546">
        <v>1250</v>
      </c>
      <c r="F67" s="13">
        <f t="shared" si="4"/>
        <v>742.5</v>
      </c>
      <c r="G67" s="13">
        <f>VLOOKUP(B67,'[3]BS cân đối NS xã (PL 9)'!$B$16:$L$115,9,FALSE)</f>
        <v>64950.060738975648</v>
      </c>
      <c r="H67" s="13">
        <f>VLOOKUP(B67,'[3]BS cân đối NS xã (PL 9)'!$B$16:$L$115,10,FALSE)</f>
        <v>16694.307744171798</v>
      </c>
      <c r="I67" s="545"/>
      <c r="J67" s="13">
        <f>VLOOKUP(B67,'[3]BS cân đối NS xã (PL 9)'!$B$16:$L$115,11,FALSE)</f>
        <v>83636.868483147438</v>
      </c>
    </row>
    <row r="68" spans="1:10" ht="18.75">
      <c r="A68" s="541">
        <v>57</v>
      </c>
      <c r="B68" s="544" t="s">
        <v>859</v>
      </c>
      <c r="C68" s="13">
        <f>VLOOKUP(B68,'[3]BS cân đối NS xã (PL 9)'!$B$16:$L$115,2,FALSE)</f>
        <v>48100</v>
      </c>
      <c r="D68" s="13">
        <f>VLOOKUP(B68,'[3]BS cân đối NS xã (PL 9)'!$B$17:$D$115,3,FALSE)</f>
        <v>10430</v>
      </c>
      <c r="E68" s="546">
        <v>850</v>
      </c>
      <c r="F68" s="13">
        <f t="shared" si="4"/>
        <v>9580</v>
      </c>
      <c r="G68" s="13">
        <f>VLOOKUP(B68,'[3]BS cân đối NS xã (PL 9)'!$B$16:$L$115,9,FALSE)</f>
        <v>89241.490383399621</v>
      </c>
      <c r="H68" s="13">
        <f>VLOOKUP(B68,'[3]BS cân đối NS xã (PL 9)'!$B$16:$L$115,10,FALSE)</f>
        <v>27439.050672051799</v>
      </c>
      <c r="I68" s="545"/>
      <c r="J68" s="13">
        <f>VLOOKUP(B68,'[3]BS cân đối NS xã (PL 9)'!$B$16:$L$115,11,FALSE)</f>
        <v>127110.54105545142</v>
      </c>
    </row>
    <row r="69" spans="1:10" ht="18.75">
      <c r="A69" s="541">
        <v>58</v>
      </c>
      <c r="B69" s="544" t="s">
        <v>860</v>
      </c>
      <c r="C69" s="13">
        <f>VLOOKUP(B69,'[3]BS cân đối NS xã (PL 9)'!$B$16:$L$115,2,FALSE)</f>
        <v>25200</v>
      </c>
      <c r="D69" s="13">
        <f>VLOOKUP(B69,'[3]BS cân đối NS xã (PL 9)'!$B$17:$D$115,3,FALSE)</f>
        <v>11770</v>
      </c>
      <c r="E69" s="546">
        <v>700</v>
      </c>
      <c r="F69" s="13">
        <f t="shared" si="4"/>
        <v>11070</v>
      </c>
      <c r="G69" s="13">
        <f>VLOOKUP(B69,'[3]BS cân đối NS xã (PL 9)'!$B$16:$L$115,9,FALSE)</f>
        <v>95073.321312384724</v>
      </c>
      <c r="H69" s="13">
        <f>VLOOKUP(B69,'[3]BS cân đối NS xã (PL 9)'!$B$16:$L$115,10,FALSE)</f>
        <v>28991.934195426595</v>
      </c>
      <c r="I69" s="545"/>
      <c r="J69" s="13">
        <f>VLOOKUP(B69,'[3]BS cân đối NS xã (PL 9)'!$B$16:$L$115,11,FALSE)</f>
        <v>135835.25550781132</v>
      </c>
    </row>
    <row r="70" spans="1:10" ht="18.75">
      <c r="A70" s="541">
        <v>59</v>
      </c>
      <c r="B70" s="544" t="s">
        <v>861</v>
      </c>
      <c r="C70" s="13">
        <f>VLOOKUP(B70,'[3]BS cân đối NS xã (PL 9)'!$B$16:$L$115,2,FALSE)</f>
        <v>700</v>
      </c>
      <c r="D70" s="13">
        <f>VLOOKUP(B70,'[3]BS cân đối NS xã (PL 9)'!$B$17:$D$115,3,FALSE)</f>
        <v>636</v>
      </c>
      <c r="E70" s="546">
        <v>580</v>
      </c>
      <c r="F70" s="13">
        <f t="shared" si="4"/>
        <v>56</v>
      </c>
      <c r="G70" s="13">
        <f>VLOOKUP(B70,'[3]BS cân đối NS xã (PL 9)'!$B$16:$L$115,9,FALSE)</f>
        <v>86507.736344885896</v>
      </c>
      <c r="H70" s="13">
        <f>VLOOKUP(B70,'[3]BS cân đối NS xã (PL 9)'!$B$16:$L$115,10,FALSE)</f>
        <v>23352.815724420598</v>
      </c>
      <c r="I70" s="545"/>
      <c r="J70" s="13">
        <f>VLOOKUP(B70,'[3]BS cân đối NS xã (PL 9)'!$B$16:$L$115,11,FALSE)</f>
        <v>110496.55206930649</v>
      </c>
    </row>
    <row r="71" spans="1:10" ht="18.75">
      <c r="A71" s="541">
        <v>60</v>
      </c>
      <c r="B71" s="544" t="s">
        <v>862</v>
      </c>
      <c r="C71" s="13">
        <f>VLOOKUP(B71,'[3]BS cân đối NS xã (PL 9)'!$B$16:$L$115,2,FALSE)</f>
        <v>100</v>
      </c>
      <c r="D71" s="13">
        <f>VLOOKUP(B71,'[3]BS cân đối NS xã (PL 9)'!$B$17:$D$115,3,FALSE)</f>
        <v>100</v>
      </c>
      <c r="E71" s="546">
        <v>100</v>
      </c>
      <c r="F71" s="13">
        <f t="shared" si="4"/>
        <v>0</v>
      </c>
      <c r="G71" s="13">
        <f>VLOOKUP(B71,'[3]BS cân đối NS xã (PL 9)'!$B$16:$L$115,9,FALSE)</f>
        <v>29871.147540726321</v>
      </c>
      <c r="H71" s="13">
        <f>VLOOKUP(B71,'[3]BS cân đối NS xã (PL 9)'!$B$16:$L$115,10,FALSE)</f>
        <v>6233.835835268399</v>
      </c>
      <c r="I71" s="545"/>
      <c r="J71" s="13">
        <f>VLOOKUP(B71,'[3]BS cân đối NS xã (PL 9)'!$B$16:$L$115,11,FALSE)</f>
        <v>36204.983375994721</v>
      </c>
    </row>
    <row r="72" spans="1:10" ht="18.75">
      <c r="A72" s="541">
        <v>61</v>
      </c>
      <c r="B72" s="544" t="s">
        <v>863</v>
      </c>
      <c r="C72" s="13">
        <f>VLOOKUP(B72,'[3]BS cân đối NS xã (PL 9)'!$B$16:$L$115,2,FALSE)</f>
        <v>5900</v>
      </c>
      <c r="D72" s="13">
        <f>VLOOKUP(B72,'[3]BS cân đối NS xã (PL 9)'!$B$17:$D$115,3,FALSE)</f>
        <v>4085</v>
      </c>
      <c r="E72" s="546">
        <v>3030</v>
      </c>
      <c r="F72" s="13">
        <f t="shared" si="4"/>
        <v>1055</v>
      </c>
      <c r="G72" s="13">
        <f>VLOOKUP(B72,'[3]BS cân đối NS xã (PL 9)'!$B$16:$L$115,9,FALSE)</f>
        <v>64374.070235493404</v>
      </c>
      <c r="H72" s="13">
        <f>VLOOKUP(B72,'[3]BS cân đối NS xã (PL 9)'!$B$16:$L$115,10,FALSE)</f>
        <v>16573.029196782998</v>
      </c>
      <c r="I72" s="545"/>
      <c r="J72" s="13">
        <f>VLOOKUP(B72,'[3]BS cân đối NS xã (PL 9)'!$B$16:$L$115,11,FALSE)</f>
        <v>85032.099432276402</v>
      </c>
    </row>
    <row r="73" spans="1:10" ht="18.75">
      <c r="A73" s="541">
        <v>62</v>
      </c>
      <c r="B73" s="544" t="s">
        <v>864</v>
      </c>
      <c r="C73" s="13">
        <f>VLOOKUP(B73,'[3]BS cân đối NS xã (PL 9)'!$B$16:$L$115,2,FALSE)</f>
        <v>164800</v>
      </c>
      <c r="D73" s="13">
        <f>VLOOKUP(B73,'[3]BS cân đối NS xã (PL 9)'!$B$17:$D$115,3,FALSE)</f>
        <v>55980</v>
      </c>
      <c r="E73" s="546">
        <v>4250</v>
      </c>
      <c r="F73" s="13">
        <f t="shared" si="4"/>
        <v>51730</v>
      </c>
      <c r="G73" s="13">
        <f>VLOOKUP(B73,'[3]BS cân đối NS xã (PL 9)'!$B$16:$L$115,9,FALSE)</f>
        <v>78719.634069701773</v>
      </c>
      <c r="H73" s="13">
        <f>VLOOKUP(B73,'[3]BS cân đối NS xã (PL 9)'!$B$16:$L$115,10,FALSE)</f>
        <v>24175.428542691192</v>
      </c>
      <c r="I73" s="545"/>
      <c r="J73" s="13">
        <f>VLOOKUP(B73,'[3]BS cân đối NS xã (PL 9)'!$B$16:$L$115,11,FALSE)</f>
        <v>158875.06261239297</v>
      </c>
    </row>
    <row r="74" spans="1:10" ht="18.75">
      <c r="A74" s="541">
        <v>63</v>
      </c>
      <c r="B74" s="544" t="s">
        <v>865</v>
      </c>
      <c r="C74" s="13">
        <f>VLOOKUP(B74,'[3]BS cân đối NS xã (PL 9)'!$B$16:$L$115,2,FALSE)</f>
        <v>170500</v>
      </c>
      <c r="D74" s="13">
        <f>VLOOKUP(B74,'[3]BS cân đối NS xã (PL 9)'!$B$17:$D$115,3,FALSE)</f>
        <v>79125</v>
      </c>
      <c r="E74" s="546">
        <v>1250</v>
      </c>
      <c r="F74" s="13">
        <f t="shared" si="4"/>
        <v>77875</v>
      </c>
      <c r="G74" s="13">
        <f>VLOOKUP(B74,'[3]BS cân đối NS xã (PL 9)'!$B$16:$L$115,9,FALSE)</f>
        <v>96291.452805991546</v>
      </c>
      <c r="H74" s="13">
        <f>VLOOKUP(B74,'[3]BS cân đối NS xã (PL 9)'!$B$16:$L$115,10,FALSE)</f>
        <v>26023.157189992195</v>
      </c>
      <c r="I74" s="545"/>
      <c r="J74" s="13">
        <f>VLOOKUP(B74,'[3]BS cân đối NS xã (PL 9)'!$B$16:$L$115,11,FALSE)</f>
        <v>201439.60999598374</v>
      </c>
    </row>
    <row r="75" spans="1:10" ht="18.75">
      <c r="A75" s="541">
        <v>64</v>
      </c>
      <c r="B75" s="544" t="s">
        <v>866</v>
      </c>
      <c r="C75" s="13">
        <f>VLOOKUP(B75,'[3]BS cân đối NS xã (PL 9)'!$B$16:$L$115,2,FALSE)</f>
        <v>21200</v>
      </c>
      <c r="D75" s="13">
        <f>VLOOKUP(B75,'[3]BS cân đối NS xã (PL 9)'!$B$17:$D$115,3,FALSE)</f>
        <v>10685</v>
      </c>
      <c r="E75" s="546">
        <v>800</v>
      </c>
      <c r="F75" s="13">
        <f t="shared" si="4"/>
        <v>9885</v>
      </c>
      <c r="G75" s="13">
        <f>VLOOKUP(B75,'[3]BS cân đối NS xã (PL 9)'!$B$16:$L$115,9,FALSE)</f>
        <v>106198.96329927963</v>
      </c>
      <c r="H75" s="13">
        <f>VLOOKUP(B75,'[3]BS cân đối NS xã (PL 9)'!$B$16:$L$115,10,FALSE)</f>
        <v>28756.242962651795</v>
      </c>
      <c r="I75" s="545"/>
      <c r="J75" s="13">
        <f>VLOOKUP(B75,'[3]BS cân đối NS xã (PL 9)'!$B$16:$L$115,11,FALSE)</f>
        <v>145640.20626193142</v>
      </c>
    </row>
    <row r="76" spans="1:10" ht="18.75">
      <c r="A76" s="541">
        <v>65</v>
      </c>
      <c r="B76" s="544" t="s">
        <v>867</v>
      </c>
      <c r="C76" s="13">
        <f>VLOOKUP(B76,'[3]BS cân đối NS xã (PL 9)'!$B$16:$L$115,2,FALSE)</f>
        <v>87500</v>
      </c>
      <c r="D76" s="13">
        <f>VLOOKUP(B76,'[3]BS cân đối NS xã (PL 9)'!$B$17:$D$115,3,FALSE)</f>
        <v>25920</v>
      </c>
      <c r="E76" s="546">
        <v>1700</v>
      </c>
      <c r="F76" s="13">
        <f t="shared" si="4"/>
        <v>24220</v>
      </c>
      <c r="G76" s="13">
        <f>VLOOKUP(B76,'[3]BS cân đối NS xã (PL 9)'!$B$16:$L$115,9,FALSE)</f>
        <v>49168.625515936321</v>
      </c>
      <c r="H76" s="13">
        <f>VLOOKUP(B76,'[3]BS cân đối NS xã (PL 9)'!$B$16:$L$115,10,FALSE)</f>
        <v>19084.585696718401</v>
      </c>
      <c r="I76" s="545"/>
      <c r="J76" s="13">
        <f>VLOOKUP(B76,'[3]BS cân đối NS xã (PL 9)'!$B$16:$L$115,11,FALSE)</f>
        <v>94173.211212654714</v>
      </c>
    </row>
    <row r="77" spans="1:10" ht="18.75">
      <c r="A77" s="541">
        <v>66</v>
      </c>
      <c r="B77" s="544" t="s">
        <v>868</v>
      </c>
      <c r="C77" s="13">
        <f>VLOOKUP(B77,'[3]BS cân đối NS xã (PL 9)'!$B$16:$L$115,2,FALSE)</f>
        <v>6500</v>
      </c>
      <c r="D77" s="13">
        <f>VLOOKUP(B77,'[3]BS cân đối NS xã (PL 9)'!$B$17:$D$115,3,FALSE)</f>
        <v>2415</v>
      </c>
      <c r="E77" s="546">
        <v>150</v>
      </c>
      <c r="F77" s="13">
        <f t="shared" ref="F77:F110" si="5">D77-E77</f>
        <v>2265</v>
      </c>
      <c r="G77" s="13">
        <f>VLOOKUP(B77,'[3]BS cân đối NS xã (PL 9)'!$B$16:$L$115,9,FALSE)</f>
        <v>92375.870415245881</v>
      </c>
      <c r="H77" s="13">
        <f>VLOOKUP(B77,'[3]BS cân đối NS xã (PL 9)'!$B$16:$L$115,10,FALSE)</f>
        <v>24620.119742620598</v>
      </c>
      <c r="I77" s="545"/>
      <c r="J77" s="13">
        <f>VLOOKUP(B77,'[3]BS cân đối NS xã (PL 9)'!$B$16:$L$115,11,FALSE)</f>
        <v>119410.99015786649</v>
      </c>
    </row>
    <row r="78" spans="1:10" ht="18.75">
      <c r="A78" s="541">
        <v>67</v>
      </c>
      <c r="B78" s="544" t="s">
        <v>869</v>
      </c>
      <c r="C78" s="13">
        <f>VLOOKUP(B78,'[3]BS cân đối NS xã (PL 9)'!$B$16:$L$115,2,FALSE)</f>
        <v>123050</v>
      </c>
      <c r="D78" s="13">
        <f>VLOOKUP(B78,'[3]BS cân đối NS xã (PL 9)'!$B$17:$D$115,3,FALSE)</f>
        <v>41842.5</v>
      </c>
      <c r="E78" s="546">
        <v>3200</v>
      </c>
      <c r="F78" s="13">
        <f t="shared" si="5"/>
        <v>38642.5</v>
      </c>
      <c r="G78" s="13">
        <f>VLOOKUP(B78,'[3]BS cân đối NS xã (PL 9)'!$B$16:$L$115,9,FALSE)</f>
        <v>121995.03916875838</v>
      </c>
      <c r="H78" s="13">
        <f>VLOOKUP(B78,'[3]BS cân đối NS xã (PL 9)'!$B$16:$L$115,10,FALSE)</f>
        <v>30966.993294207994</v>
      </c>
      <c r="I78" s="545"/>
      <c r="J78" s="13">
        <f>VLOOKUP(B78,'[3]BS cân đối NS xã (PL 9)'!$B$16:$L$115,11,FALSE)</f>
        <v>194804.53246296637</v>
      </c>
    </row>
    <row r="79" spans="1:10" ht="18.75">
      <c r="A79" s="541">
        <v>68</v>
      </c>
      <c r="B79" s="544" t="s">
        <v>870</v>
      </c>
      <c r="C79" s="13">
        <f>VLOOKUP(B79,'[3]BS cân đối NS xã (PL 9)'!$B$16:$L$115,2,FALSE)</f>
        <v>8180</v>
      </c>
      <c r="D79" s="13">
        <f>VLOOKUP(B79,'[3]BS cân đối NS xã (PL 9)'!$B$17:$D$115,3,FALSE)</f>
        <v>4345</v>
      </c>
      <c r="E79" s="546">
        <v>350</v>
      </c>
      <c r="F79" s="13">
        <f t="shared" si="5"/>
        <v>3995</v>
      </c>
      <c r="G79" s="13">
        <f>VLOOKUP(B79,'[3]BS cân đối NS xã (PL 9)'!$B$16:$L$115,9,FALSE)</f>
        <v>61283.569206790271</v>
      </c>
      <c r="H79" s="13">
        <f>VLOOKUP(B79,'[3]BS cân đối NS xã (PL 9)'!$B$16:$L$115,10,FALSE)</f>
        <v>16706.198240398597</v>
      </c>
      <c r="I79" s="545"/>
      <c r="J79" s="13">
        <f>VLOOKUP(B79,'[3]BS cân đối NS xã (PL 9)'!$B$16:$L$115,11,FALSE)</f>
        <v>82334.767447188875</v>
      </c>
    </row>
    <row r="80" spans="1:10" ht="18.75">
      <c r="A80" s="541">
        <v>69</v>
      </c>
      <c r="B80" s="544" t="s">
        <v>871</v>
      </c>
      <c r="C80" s="13">
        <f>VLOOKUP(B80,'[3]BS cân đối NS xã (PL 9)'!$B$16:$L$115,2,FALSE)</f>
        <v>22230</v>
      </c>
      <c r="D80" s="13">
        <f>VLOOKUP(B80,'[3]BS cân đối NS xã (PL 9)'!$B$17:$D$115,3,FALSE)</f>
        <v>7260</v>
      </c>
      <c r="E80" s="546">
        <v>350</v>
      </c>
      <c r="F80" s="13">
        <f t="shared" si="5"/>
        <v>6910</v>
      </c>
      <c r="G80" s="13">
        <f>VLOOKUP(B80,'[3]BS cân đối NS xã (PL 9)'!$B$16:$L$115,9,FALSE)</f>
        <v>73378.418240307714</v>
      </c>
      <c r="H80" s="13">
        <f>VLOOKUP(B80,'[3]BS cân đối NS xã (PL 9)'!$B$16:$L$115,10,FALSE)</f>
        <v>17814.180001611396</v>
      </c>
      <c r="I80" s="545"/>
      <c r="J80" s="13">
        <f>VLOOKUP(B80,'[3]BS cân đối NS xã (PL 9)'!$B$16:$L$115,11,FALSE)</f>
        <v>98452.598241919113</v>
      </c>
    </row>
    <row r="81" spans="1:10" ht="18.75">
      <c r="A81" s="541">
        <v>70</v>
      </c>
      <c r="B81" s="544" t="s">
        <v>872</v>
      </c>
      <c r="C81" s="13">
        <f>VLOOKUP(B81,'[3]BS cân đối NS xã (PL 9)'!$B$16:$L$115,2,FALSE)</f>
        <v>8100</v>
      </c>
      <c r="D81" s="13">
        <f>VLOOKUP(B81,'[3]BS cân đối NS xã (PL 9)'!$B$17:$D$115,3,FALSE)</f>
        <v>4075</v>
      </c>
      <c r="E81" s="546">
        <v>2250</v>
      </c>
      <c r="F81" s="13">
        <f t="shared" si="5"/>
        <v>1825</v>
      </c>
      <c r="G81" s="13">
        <f>VLOOKUP(B81,'[3]BS cân đối NS xã (PL 9)'!$B$16:$L$115,9,FALSE)</f>
        <v>77746.579716754175</v>
      </c>
      <c r="H81" s="13">
        <f>VLOOKUP(B81,'[3]BS cân đối NS xã (PL 9)'!$B$16:$L$115,10,FALSE)</f>
        <v>18323.9602019292</v>
      </c>
      <c r="I81" s="545"/>
      <c r="J81" s="13">
        <f>VLOOKUP(B81,'[3]BS cân đối NS xã (PL 9)'!$B$16:$L$115,11,FALSE)</f>
        <v>100145.53991868337</v>
      </c>
    </row>
    <row r="82" spans="1:10" ht="18.75">
      <c r="A82" s="541">
        <v>71</v>
      </c>
      <c r="B82" s="544" t="s">
        <v>873</v>
      </c>
      <c r="C82" s="13">
        <f>VLOOKUP(B82,'[3]BS cân đối NS xã (PL 9)'!$B$16:$L$115,2,FALSE)</f>
        <v>7670</v>
      </c>
      <c r="D82" s="13">
        <f>VLOOKUP(B82,'[3]BS cân đối NS xã (PL 9)'!$B$17:$D$115,3,FALSE)</f>
        <v>2610</v>
      </c>
      <c r="E82" s="546">
        <v>770</v>
      </c>
      <c r="F82" s="13">
        <f t="shared" si="5"/>
        <v>1840</v>
      </c>
      <c r="G82" s="13">
        <f>VLOOKUP(B82,'[3]BS cân đối NS xã (PL 9)'!$B$16:$L$115,9,FALSE)</f>
        <v>47736.372847790277</v>
      </c>
      <c r="H82" s="13">
        <f>VLOOKUP(B82,'[3]BS cân đối NS xã (PL 9)'!$B$16:$L$115,10,FALSE)</f>
        <v>9163.1917453985989</v>
      </c>
      <c r="I82" s="545"/>
      <c r="J82" s="13">
        <f>VLOOKUP(B82,'[3]BS cân đối NS xã (PL 9)'!$B$16:$L$115,11,FALSE)</f>
        <v>59509.564593188872</v>
      </c>
    </row>
    <row r="83" spans="1:10" ht="18.75">
      <c r="A83" s="541">
        <v>72</v>
      </c>
      <c r="B83" s="544" t="s">
        <v>874</v>
      </c>
      <c r="C83" s="13">
        <f>VLOOKUP(B83,'[3]BS cân đối NS xã (PL 9)'!$B$16:$L$115,2,FALSE)</f>
        <v>5340</v>
      </c>
      <c r="D83" s="13">
        <f>VLOOKUP(B83,'[3]BS cân đối NS xã (PL 9)'!$B$17:$D$115,3,FALSE)</f>
        <v>2635</v>
      </c>
      <c r="E83" s="546">
        <v>1370</v>
      </c>
      <c r="F83" s="13">
        <f t="shared" si="5"/>
        <v>1265</v>
      </c>
      <c r="G83" s="13">
        <f>VLOOKUP(B83,'[3]BS cân đối NS xã (PL 9)'!$B$16:$L$115,9,FALSE)</f>
        <v>64429.41910328313</v>
      </c>
      <c r="H83" s="13">
        <f>VLOOKUP(B83,'[3]BS cân đối NS xã (PL 9)'!$B$16:$L$115,10,FALSE)</f>
        <v>14595.892298484398</v>
      </c>
      <c r="I83" s="545"/>
      <c r="J83" s="13">
        <f>VLOOKUP(B83,'[3]BS cân đối NS xã (PL 9)'!$B$16:$L$115,11,FALSE)</f>
        <v>81660.311401767525</v>
      </c>
    </row>
    <row r="84" spans="1:10" ht="18.75">
      <c r="A84" s="541">
        <v>73</v>
      </c>
      <c r="B84" s="544" t="s">
        <v>875</v>
      </c>
      <c r="C84" s="13">
        <f>VLOOKUP(B84,'[3]BS cân đối NS xã (PL 9)'!$B$16:$L$115,2,FALSE)</f>
        <v>8270</v>
      </c>
      <c r="D84" s="13">
        <f>VLOOKUP(B84,'[3]BS cân đối NS xã (PL 9)'!$B$17:$D$115,3,FALSE)</f>
        <v>3500</v>
      </c>
      <c r="E84" s="546">
        <v>1950</v>
      </c>
      <c r="F84" s="13">
        <f t="shared" si="5"/>
        <v>1550</v>
      </c>
      <c r="G84" s="13">
        <f>VLOOKUP(B84,'[3]BS cân đối NS xã (PL 9)'!$B$16:$L$115,9,FALSE)</f>
        <v>68098.465781992709</v>
      </c>
      <c r="H84" s="13">
        <f>VLOOKUP(B84,'[3]BS cân đối NS xã (PL 9)'!$B$16:$L$115,10,FALSE)</f>
        <v>15602.600521936396</v>
      </c>
      <c r="I84" s="545"/>
      <c r="J84" s="13">
        <f>VLOOKUP(B84,'[3]BS cân đối NS xã (PL 9)'!$B$16:$L$115,11,FALSE)</f>
        <v>87201.06630392911</v>
      </c>
    </row>
    <row r="85" spans="1:10" ht="18.75">
      <c r="A85" s="541">
        <v>74</v>
      </c>
      <c r="B85" s="544" t="s">
        <v>876</v>
      </c>
      <c r="C85" s="13">
        <f>VLOOKUP(B85,'[3]BS cân đối NS xã (PL 9)'!$B$16:$L$115,2,FALSE)</f>
        <v>136500</v>
      </c>
      <c r="D85" s="13">
        <f>VLOOKUP(B85,'[3]BS cân đối NS xã (PL 9)'!$B$17:$D$115,3,FALSE)</f>
        <v>8560</v>
      </c>
      <c r="E85" s="546">
        <v>5120</v>
      </c>
      <c r="F85" s="13">
        <f t="shared" si="5"/>
        <v>3440</v>
      </c>
      <c r="G85" s="13">
        <f>VLOOKUP(B85,'[3]BS cân đối NS xã (PL 9)'!$B$16:$L$115,9,FALSE)</f>
        <v>89513.806056757632</v>
      </c>
      <c r="H85" s="13">
        <f>VLOOKUP(B85,'[3]BS cân đối NS xã (PL 9)'!$B$16:$L$115,10,FALSE)</f>
        <v>25649.7358577618</v>
      </c>
      <c r="I85" s="545"/>
      <c r="J85" s="13">
        <f>VLOOKUP(B85,'[3]BS cân đối NS xã (PL 9)'!$B$16:$L$115,11,FALSE)</f>
        <v>123723.54191451943</v>
      </c>
    </row>
    <row r="86" spans="1:10" ht="18.75">
      <c r="A86" s="541">
        <v>75</v>
      </c>
      <c r="B86" s="544" t="s">
        <v>877</v>
      </c>
      <c r="C86" s="13">
        <f>VLOOKUP(B86,'[3]BS cân đối NS xã (PL 9)'!$B$16:$L$115,2,FALSE)</f>
        <v>6030</v>
      </c>
      <c r="D86" s="13">
        <f>VLOOKUP(B86,'[3]BS cân đối NS xã (PL 9)'!$B$17:$D$115,3,FALSE)</f>
        <v>2565</v>
      </c>
      <c r="E86" s="546">
        <v>1300</v>
      </c>
      <c r="F86" s="13">
        <f t="shared" si="5"/>
        <v>1265</v>
      </c>
      <c r="G86" s="13">
        <f>VLOOKUP(B86,'[3]BS cân đối NS xã (PL 9)'!$B$16:$L$115,9,FALSE)</f>
        <v>66867.805827060962</v>
      </c>
      <c r="H86" s="13">
        <f>VLOOKUP(B86,'[3]BS cân đối NS xã (PL 9)'!$B$16:$L$115,10,FALSE)</f>
        <v>18331.255808895196</v>
      </c>
      <c r="I86" s="545"/>
      <c r="J86" s="13">
        <f>VLOOKUP(B86,'[3]BS cân đối NS xã (PL 9)'!$B$16:$L$115,11,FALSE)</f>
        <v>87764.061635956154</v>
      </c>
    </row>
    <row r="87" spans="1:10" ht="18.75">
      <c r="A87" s="541">
        <v>76</v>
      </c>
      <c r="B87" s="544" t="s">
        <v>878</v>
      </c>
      <c r="C87" s="13">
        <f>VLOOKUP(B87,'[3]BS cân đối NS xã (PL 9)'!$B$16:$L$115,2,FALSE)</f>
        <v>699800</v>
      </c>
      <c r="D87" s="13">
        <f>VLOOKUP(B87,'[3]BS cân đối NS xã (PL 9)'!$B$17:$D$115,3,FALSE)</f>
        <v>104860</v>
      </c>
      <c r="E87" s="546">
        <v>5700</v>
      </c>
      <c r="F87" s="13">
        <f t="shared" si="5"/>
        <v>99160</v>
      </c>
      <c r="G87" s="13">
        <f>VLOOKUP(B87,'[3]BS cân đối NS xã (PL 9)'!$B$16:$L$115,9,FALSE)</f>
        <v>133791.86343941398</v>
      </c>
      <c r="H87" s="13">
        <f>VLOOKUP(B87,'[3]BS cân đối NS xã (PL 9)'!$B$16:$L$115,10,FALSE)</f>
        <v>47451.256040880202</v>
      </c>
      <c r="I87" s="545"/>
      <c r="J87" s="13">
        <f>VLOOKUP(B87,'[3]BS cân đối NS xã (PL 9)'!$B$16:$L$115,11,FALSE)</f>
        <v>286103.11948029418</v>
      </c>
    </row>
    <row r="88" spans="1:10" ht="18.75">
      <c r="A88" s="541">
        <v>77</v>
      </c>
      <c r="B88" s="544" t="s">
        <v>879</v>
      </c>
      <c r="C88" s="13">
        <f>VLOOKUP(B88,'[3]BS cân đối NS xã (PL 9)'!$B$16:$L$115,2,FALSE)</f>
        <v>45080</v>
      </c>
      <c r="D88" s="13">
        <f>VLOOKUP(B88,'[3]BS cân đối NS xã (PL 9)'!$B$17:$D$115,3,FALSE)</f>
        <v>6260</v>
      </c>
      <c r="E88" s="546">
        <v>2270</v>
      </c>
      <c r="F88" s="13">
        <f t="shared" si="5"/>
        <v>3990</v>
      </c>
      <c r="G88" s="13">
        <f>VLOOKUP(B88,'[3]BS cân đối NS xã (PL 9)'!$B$16:$L$115,9,FALSE)</f>
        <v>114750.01919978902</v>
      </c>
      <c r="H88" s="13">
        <f>VLOOKUP(B88,'[3]BS cân đối NS xã (PL 9)'!$B$16:$L$115,10,FALSE)</f>
        <v>32528.654215255188</v>
      </c>
      <c r="I88" s="545"/>
      <c r="J88" s="13">
        <f>VLOOKUP(B88,'[3]BS cân đối NS xã (PL 9)'!$B$16:$L$115,11,FALSE)</f>
        <v>153538.67341504421</v>
      </c>
    </row>
    <row r="89" spans="1:10" ht="18.75">
      <c r="A89" s="541">
        <v>78</v>
      </c>
      <c r="B89" s="544" t="s">
        <v>880</v>
      </c>
      <c r="C89" s="13">
        <f>VLOOKUP(B89,'[3]BS cân đối NS xã (PL 9)'!$B$16:$L$115,2,FALSE)</f>
        <v>120</v>
      </c>
      <c r="D89" s="13">
        <f>VLOOKUP(B89,'[3]BS cân đối NS xã (PL 9)'!$B$17:$D$115,3,FALSE)</f>
        <v>110</v>
      </c>
      <c r="E89" s="546">
        <v>70</v>
      </c>
      <c r="F89" s="13">
        <f t="shared" si="5"/>
        <v>40</v>
      </c>
      <c r="G89" s="13">
        <f>VLOOKUP(B89,'[3]BS cân đối NS xã (PL 9)'!$B$16:$L$115,9,FALSE)</f>
        <v>64962.813626847972</v>
      </c>
      <c r="H89" s="13">
        <f>VLOOKUP(B89,'[3]BS cân đối NS xã (PL 9)'!$B$16:$L$115,10,FALSE)</f>
        <v>13558.906265759997</v>
      </c>
      <c r="I89" s="545"/>
      <c r="J89" s="13">
        <f>VLOOKUP(B89,'[3]BS cân đối NS xã (PL 9)'!$B$16:$L$115,11,FALSE)</f>
        <v>78631.719892607973</v>
      </c>
    </row>
    <row r="90" spans="1:10" ht="18.75">
      <c r="A90" s="541">
        <v>79</v>
      </c>
      <c r="B90" s="544" t="s">
        <v>881</v>
      </c>
      <c r="C90" s="13">
        <f>VLOOKUP(B90,'[3]BS cân đối NS xã (PL 9)'!$B$16:$L$115,2,FALSE)</f>
        <v>9170</v>
      </c>
      <c r="D90" s="13">
        <f>VLOOKUP(B90,'[3]BS cân đối NS xã (PL 9)'!$B$17:$D$115,3,FALSE)</f>
        <v>530</v>
      </c>
      <c r="E90" s="546">
        <v>80</v>
      </c>
      <c r="F90" s="13">
        <f t="shared" si="5"/>
        <v>450</v>
      </c>
      <c r="G90" s="13">
        <f>VLOOKUP(B90,'[3]BS cân đối NS xã (PL 9)'!$B$16:$L$115,9,FALSE)</f>
        <v>37697.729738173599</v>
      </c>
      <c r="H90" s="13">
        <f>VLOOKUP(B90,'[3]BS cân đối NS xã (PL 9)'!$B$16:$L$115,10,FALSE)</f>
        <v>7090.6191961319973</v>
      </c>
      <c r="I90" s="545"/>
      <c r="J90" s="13">
        <f>VLOOKUP(B90,'[3]BS cân đối NS xã (PL 9)'!$B$16:$L$115,11,FALSE)</f>
        <v>45318.348934305599</v>
      </c>
    </row>
    <row r="91" spans="1:10" ht="18.75">
      <c r="A91" s="541">
        <v>80</v>
      </c>
      <c r="B91" s="544" t="s">
        <v>882</v>
      </c>
      <c r="C91" s="13">
        <f>VLOOKUP(B91,'[3]BS cân đối NS xã (PL 9)'!$B$16:$L$115,2,FALSE)</f>
        <v>3500</v>
      </c>
      <c r="D91" s="13">
        <f>VLOOKUP(B91,'[3]BS cân đối NS xã (PL 9)'!$B$17:$D$115,3,FALSE)</f>
        <v>2820</v>
      </c>
      <c r="E91" s="546">
        <v>2500</v>
      </c>
      <c r="F91" s="13">
        <f t="shared" si="5"/>
        <v>320</v>
      </c>
      <c r="G91" s="13">
        <f>VLOOKUP(B91,'[3]BS cân đối NS xã (PL 9)'!$B$16:$L$115,9,FALSE)</f>
        <v>99001.667449335015</v>
      </c>
      <c r="H91" s="13">
        <f>VLOOKUP(B91,'[3]BS cân đối NS xã (PL 9)'!$B$16:$L$115,10,FALSE)</f>
        <v>24579.764049574991</v>
      </c>
      <c r="I91" s="545"/>
      <c r="J91" s="13">
        <f>VLOOKUP(B91,'[3]BS cân đối NS xã (PL 9)'!$B$16:$L$115,11,FALSE)</f>
        <v>126401.43149891001</v>
      </c>
    </row>
    <row r="92" spans="1:10" ht="18.75">
      <c r="A92" s="541">
        <v>81</v>
      </c>
      <c r="B92" s="544" t="s">
        <v>883</v>
      </c>
      <c r="C92" s="13">
        <f>VLOOKUP(B92,'[3]BS cân đối NS xã (PL 9)'!$B$16:$L$115,2,FALSE)</f>
        <v>470800</v>
      </c>
      <c r="D92" s="13">
        <f>VLOOKUP(B92,'[3]BS cân đối NS xã (PL 9)'!$B$17:$D$115,3,FALSE)</f>
        <v>124447.5</v>
      </c>
      <c r="E92" s="546">
        <v>8000</v>
      </c>
      <c r="F92" s="13">
        <f t="shared" si="5"/>
        <v>116447.5</v>
      </c>
      <c r="G92" s="13">
        <f>VLOOKUP(B92,'[3]BS cân đối NS xã (PL 9)'!$B$16:$L$115,9,FALSE)</f>
        <v>42152.167774648347</v>
      </c>
      <c r="H92" s="13">
        <f>VLOOKUP(B92,'[3]BS cân đối NS xã (PL 9)'!$B$16:$L$115,10,FALSE)</f>
        <v>34343.406073158396</v>
      </c>
      <c r="I92" s="545"/>
      <c r="J92" s="13">
        <f>VLOOKUP(B92,'[3]BS cân đối NS xã (PL 9)'!$B$16:$L$115,11,FALSE)</f>
        <v>200943.07384780675</v>
      </c>
    </row>
    <row r="93" spans="1:10" ht="18.75">
      <c r="A93" s="541">
        <v>82</v>
      </c>
      <c r="B93" s="544" t="s">
        <v>884</v>
      </c>
      <c r="C93" s="13">
        <f>VLOOKUP(B93,'[3]BS cân đối NS xã (PL 9)'!$B$16:$L$115,2,FALSE)</f>
        <v>22900</v>
      </c>
      <c r="D93" s="13">
        <f>VLOOKUP(B93,'[3]BS cân đối NS xã (PL 9)'!$B$17:$D$115,3,FALSE)</f>
        <v>8640</v>
      </c>
      <c r="E93" s="546">
        <v>3650</v>
      </c>
      <c r="F93" s="13">
        <f t="shared" si="5"/>
        <v>4990</v>
      </c>
      <c r="G93" s="13">
        <f>VLOOKUP(B93,'[3]BS cân đối NS xã (PL 9)'!$B$16:$L$115,9,FALSE)</f>
        <v>89153.183059420204</v>
      </c>
      <c r="H93" s="13">
        <f>VLOOKUP(B93,'[3]BS cân đối NS xã (PL 9)'!$B$16:$L$115,10,FALSE)</f>
        <v>24672.744190648991</v>
      </c>
      <c r="I93" s="545"/>
      <c r="J93" s="13">
        <f>VLOOKUP(B93,'[3]BS cân đối NS xã (PL 9)'!$B$16:$L$115,11,FALSE)</f>
        <v>122465.9272500692</v>
      </c>
    </row>
    <row r="94" spans="1:10" ht="18.75">
      <c r="A94" s="541">
        <v>83</v>
      </c>
      <c r="B94" s="544" t="s">
        <v>885</v>
      </c>
      <c r="C94" s="13">
        <f>VLOOKUP(B94,'[3]BS cân đối NS xã (PL 9)'!$B$16:$L$115,2,FALSE)</f>
        <v>11570</v>
      </c>
      <c r="D94" s="13">
        <f>VLOOKUP(B94,'[3]BS cân đối NS xã (PL 9)'!$B$17:$D$115,3,FALSE)</f>
        <v>5427.5</v>
      </c>
      <c r="E94" s="546">
        <v>2700</v>
      </c>
      <c r="F94" s="13">
        <f t="shared" si="5"/>
        <v>2727.5</v>
      </c>
      <c r="G94" s="13">
        <f>VLOOKUP(B94,'[3]BS cân đối NS xã (PL 9)'!$B$16:$L$115,9,FALSE)</f>
        <v>85846.035463934677</v>
      </c>
      <c r="H94" s="13">
        <f>VLOOKUP(B94,'[3]BS cân đối NS xã (PL 9)'!$B$16:$L$115,10,FALSE)</f>
        <v>22007.387290176594</v>
      </c>
      <c r="I94" s="545"/>
      <c r="J94" s="13">
        <f>VLOOKUP(B94,'[3]BS cân đối NS xã (PL 9)'!$B$16:$L$115,11,FALSE)</f>
        <v>113280.92275411126</v>
      </c>
    </row>
    <row r="95" spans="1:10" ht="18.75">
      <c r="A95" s="541">
        <v>84</v>
      </c>
      <c r="B95" s="544" t="s">
        <v>886</v>
      </c>
      <c r="C95" s="13">
        <f>VLOOKUP(B95,'[3]BS cân đối NS xã (PL 9)'!$B$16:$L$115,2,FALSE)</f>
        <v>4500</v>
      </c>
      <c r="D95" s="13">
        <f>VLOOKUP(B95,'[3]BS cân đối NS xã (PL 9)'!$B$17:$D$115,3,FALSE)</f>
        <v>3195</v>
      </c>
      <c r="E95" s="546">
        <v>2550</v>
      </c>
      <c r="F95" s="13">
        <f t="shared" si="5"/>
        <v>645</v>
      </c>
      <c r="G95" s="13">
        <f>VLOOKUP(B95,'[3]BS cân đối NS xã (PL 9)'!$B$16:$L$115,9,FALSE)</f>
        <v>77856.040013807389</v>
      </c>
      <c r="H95" s="13">
        <f>VLOOKUP(B95,'[3]BS cân đối NS xã (PL 9)'!$B$16:$L$115,10,FALSE)</f>
        <v>21327.075882712998</v>
      </c>
      <c r="I95" s="545"/>
      <c r="J95" s="13">
        <f>VLOOKUP(B95,'[3]BS cân đối NS xã (PL 9)'!$B$16:$L$115,11,FALSE)</f>
        <v>102378.11589652039</v>
      </c>
    </row>
    <row r="96" spans="1:10" ht="18.75">
      <c r="A96" s="541">
        <v>85</v>
      </c>
      <c r="B96" s="544" t="s">
        <v>887</v>
      </c>
      <c r="C96" s="13">
        <f>VLOOKUP(B96,'[3]BS cân đối NS xã (PL 9)'!$B$16:$L$115,2,FALSE)</f>
        <v>40150</v>
      </c>
      <c r="D96" s="13">
        <f>VLOOKUP(B96,'[3]BS cân đối NS xã (PL 9)'!$B$17:$D$115,3,FALSE)</f>
        <v>13218.5</v>
      </c>
      <c r="E96" s="546">
        <v>4800</v>
      </c>
      <c r="F96" s="13">
        <f t="shared" si="5"/>
        <v>8418.5</v>
      </c>
      <c r="G96" s="13">
        <f>VLOOKUP(B96,'[3]BS cân đối NS xã (PL 9)'!$B$16:$L$115,9,FALSE)</f>
        <v>93915.938686898793</v>
      </c>
      <c r="H96" s="13">
        <f>VLOOKUP(B96,'[3]BS cân đối NS xã (PL 9)'!$B$16:$L$115,10,FALSE)</f>
        <v>26750.573704005998</v>
      </c>
      <c r="I96" s="545"/>
      <c r="J96" s="13">
        <f>VLOOKUP(B96,'[3]BS cân đối NS xã (PL 9)'!$B$16:$L$115,11,FALSE)</f>
        <v>133885.0123909048</v>
      </c>
    </row>
    <row r="97" spans="1:10" ht="18.75">
      <c r="A97" s="541">
        <v>86</v>
      </c>
      <c r="B97" s="544" t="s">
        <v>888</v>
      </c>
      <c r="C97" s="13">
        <f>VLOOKUP(B97,'[3]BS cân đối NS xã (PL 9)'!$B$16:$L$115,2,FALSE)</f>
        <v>53150</v>
      </c>
      <c r="D97" s="13">
        <f>VLOOKUP(B97,'[3]BS cân đối NS xã (PL 9)'!$B$17:$D$115,3,FALSE)</f>
        <v>2575</v>
      </c>
      <c r="E97" s="546">
        <v>2200</v>
      </c>
      <c r="F97" s="13">
        <f t="shared" si="5"/>
        <v>375</v>
      </c>
      <c r="G97" s="13">
        <f>VLOOKUP(B97,'[3]BS cân đối NS xã (PL 9)'!$B$16:$L$115,9,FALSE)</f>
        <v>80277.734570095985</v>
      </c>
      <c r="H97" s="13">
        <f>VLOOKUP(B97,'[3]BS cân đối NS xã (PL 9)'!$B$16:$L$115,10,FALSE)</f>
        <v>19241.087649519995</v>
      </c>
      <c r="I97" s="545"/>
      <c r="J97" s="13">
        <f>VLOOKUP(B97,'[3]BS cân đối NS xã (PL 9)'!$B$16:$L$115,11,FALSE)</f>
        <v>102093.82221961598</v>
      </c>
    </row>
    <row r="98" spans="1:10" ht="18.75">
      <c r="A98" s="541">
        <v>87</v>
      </c>
      <c r="B98" s="544" t="s">
        <v>889</v>
      </c>
      <c r="C98" s="13">
        <f>VLOOKUP(B98,'[3]BS cân đối NS xã (PL 9)'!$B$16:$L$115,2,FALSE)</f>
        <v>2800</v>
      </c>
      <c r="D98" s="13">
        <f>VLOOKUP(B98,'[3]BS cân đối NS xã (PL 9)'!$B$17:$D$115,3,FALSE)</f>
        <v>2508</v>
      </c>
      <c r="E98" s="546">
        <v>2240</v>
      </c>
      <c r="F98" s="13">
        <f t="shared" si="5"/>
        <v>268</v>
      </c>
      <c r="G98" s="13">
        <f>VLOOKUP(B98,'[3]BS cân đối NS xã (PL 9)'!$B$16:$L$115,9,FALSE)</f>
        <v>85259.098273690222</v>
      </c>
      <c r="H98" s="13">
        <f>VLOOKUP(B98,'[3]BS cân đối NS xã (PL 9)'!$B$16:$L$115,10,FALSE)</f>
        <v>23477.679038571019</v>
      </c>
      <c r="I98" s="545"/>
      <c r="J98" s="13">
        <f>VLOOKUP(B98,'[3]BS cân đối NS xã (PL 9)'!$B$16:$L$115,11,FALSE)</f>
        <v>111244.77731226124</v>
      </c>
    </row>
    <row r="99" spans="1:10" ht="18.75">
      <c r="A99" s="541">
        <v>88</v>
      </c>
      <c r="B99" s="544" t="s">
        <v>890</v>
      </c>
      <c r="C99" s="13">
        <f>VLOOKUP(B99,'[3]BS cân đối NS xã (PL 9)'!$B$16:$L$115,2,FALSE)</f>
        <v>252450</v>
      </c>
      <c r="D99" s="13">
        <f>VLOOKUP(B99,'[3]BS cân đối NS xã (PL 9)'!$B$17:$D$115,3,FALSE)</f>
        <v>37605</v>
      </c>
      <c r="E99" s="546">
        <v>12150</v>
      </c>
      <c r="F99" s="13">
        <f t="shared" si="5"/>
        <v>25455</v>
      </c>
      <c r="G99" s="13">
        <f>VLOOKUP(B99,'[3]BS cân đối NS xã (PL 9)'!$B$16:$L$115,9,FALSE)</f>
        <v>109438.58657406454</v>
      </c>
      <c r="H99" s="13">
        <f>VLOOKUP(B99,'[3]BS cân đối NS xã (PL 9)'!$B$16:$L$115,10,FALSE)</f>
        <v>39595.872293377201</v>
      </c>
      <c r="I99" s="545"/>
      <c r="J99" s="13">
        <f>VLOOKUP(B99,'[3]BS cân đối NS xã (PL 9)'!$B$16:$L$115,11,FALSE)</f>
        <v>186639.45886744175</v>
      </c>
    </row>
    <row r="100" spans="1:10" ht="18.75">
      <c r="A100" s="541">
        <v>89</v>
      </c>
      <c r="B100" s="544" t="s">
        <v>891</v>
      </c>
      <c r="C100" s="13">
        <f>VLOOKUP(B100,'[3]BS cân đối NS xã (PL 9)'!$B$16:$L$115,2,FALSE)</f>
        <v>564800</v>
      </c>
      <c r="D100" s="13">
        <f>VLOOKUP(B100,'[3]BS cân đối NS xã (PL 9)'!$B$17:$D$115,3,FALSE)</f>
        <v>99185</v>
      </c>
      <c r="E100" s="546">
        <v>4300</v>
      </c>
      <c r="F100" s="13">
        <f t="shared" si="5"/>
        <v>94885</v>
      </c>
      <c r="G100" s="13">
        <f>VLOOKUP(B100,'[3]BS cân đối NS xã (PL 9)'!$B$16:$L$115,9,FALSE)</f>
        <v>74380.162353045889</v>
      </c>
      <c r="H100" s="13">
        <f>VLOOKUP(B100,'[3]BS cân đối NS xã (PL 9)'!$B$16:$L$115,10,FALSE)</f>
        <v>38890.547043620587</v>
      </c>
      <c r="I100" s="545"/>
      <c r="J100" s="13">
        <f>VLOOKUP(B100,'[3]BS cân đối NS xã (PL 9)'!$B$16:$L$115,11,FALSE)</f>
        <v>212455.70939666647</v>
      </c>
    </row>
    <row r="101" spans="1:10" ht="18.75">
      <c r="A101" s="541">
        <v>90</v>
      </c>
      <c r="B101" s="544" t="s">
        <v>892</v>
      </c>
      <c r="C101" s="13">
        <f>VLOOKUP(B101,'[3]BS cân đối NS xã (PL 9)'!$B$16:$L$115,2,FALSE)</f>
        <v>36300</v>
      </c>
      <c r="D101" s="13">
        <f>VLOOKUP(B101,'[3]BS cân đối NS xã (PL 9)'!$B$17:$D$115,3,FALSE)</f>
        <v>8300</v>
      </c>
      <c r="E101" s="546">
        <v>4500</v>
      </c>
      <c r="F101" s="13">
        <f t="shared" si="5"/>
        <v>3800</v>
      </c>
      <c r="G101" s="13">
        <f>VLOOKUP(B101,'[3]BS cân đối NS xã (PL 9)'!$B$16:$L$115,9,FALSE)</f>
        <v>105018.60160333219</v>
      </c>
      <c r="H101" s="13">
        <f>VLOOKUP(B101,'[3]BS cân đối NS xã (PL 9)'!$B$16:$L$115,10,FALSE)</f>
        <v>29559.967776539197</v>
      </c>
      <c r="I101" s="545"/>
      <c r="J101" s="13">
        <f>VLOOKUP(B101,'[3]BS cân đối NS xã (PL 9)'!$B$16:$L$115,11,FALSE)</f>
        <v>142878.56937987139</v>
      </c>
    </row>
    <row r="102" spans="1:10" ht="18.75">
      <c r="A102" s="541">
        <v>91</v>
      </c>
      <c r="B102" s="544" t="s">
        <v>893</v>
      </c>
      <c r="C102" s="13">
        <f>VLOOKUP(B102,'[3]BS cân đối NS xã (PL 9)'!$B$16:$L$115,2,FALSE)</f>
        <v>257000</v>
      </c>
      <c r="D102" s="13">
        <f>VLOOKUP(B102,'[3]BS cân đối NS xã (PL 9)'!$B$17:$D$115,3,FALSE)</f>
        <v>113645</v>
      </c>
      <c r="E102" s="546">
        <v>6600</v>
      </c>
      <c r="F102" s="13">
        <f t="shared" si="5"/>
        <v>107045</v>
      </c>
      <c r="G102" s="13">
        <f>VLOOKUP(B102,'[3]BS cân đối NS xã (PL 9)'!$B$16:$L$115,9,FALSE)</f>
        <v>84608.166392137471</v>
      </c>
      <c r="H102" s="13">
        <f>VLOOKUP(B102,'[3]BS cân đối NS xã (PL 9)'!$B$16:$L$115,10,FALSE)</f>
        <v>29325.118197662599</v>
      </c>
      <c r="I102" s="545"/>
      <c r="J102" s="13">
        <f>VLOOKUP(B102,'[3]BS cân đối NS xã (PL 9)'!$B$16:$L$115,11,FALSE)</f>
        <v>227578.28458980008</v>
      </c>
    </row>
    <row r="103" spans="1:10" ht="18.75">
      <c r="A103" s="541">
        <v>92</v>
      </c>
      <c r="B103" s="544" t="s">
        <v>894</v>
      </c>
      <c r="C103" s="13">
        <f>VLOOKUP(B103,'[3]BS cân đối NS xã (PL 9)'!$B$16:$L$115,2,FALSE)</f>
        <v>2528855</v>
      </c>
      <c r="D103" s="13">
        <f>VLOOKUP(B103,'[3]BS cân đối NS xã (PL 9)'!$B$17:$D$115,3,FALSE)</f>
        <v>444460</v>
      </c>
      <c r="E103" s="546">
        <v>12850</v>
      </c>
      <c r="F103" s="13">
        <f t="shared" si="5"/>
        <v>431610</v>
      </c>
      <c r="G103" s="13">
        <f>VLOOKUP(B103,'[3]BS cân đối NS xã (PL 9)'!$B$16:$L$115,9,FALSE)</f>
        <v>1.7094997339881957E-2</v>
      </c>
      <c r="H103" s="13">
        <f>VLOOKUP(B103,'[3]BS cân đối NS xã (PL 9)'!$B$16:$L$115,10,FALSE)</f>
        <v>54062.948134713195</v>
      </c>
      <c r="I103" s="545"/>
      <c r="J103" s="13">
        <f>VLOOKUP(B103,'[3]BS cân đối NS xã (PL 9)'!$B$16:$L$115,11,FALSE)</f>
        <v>498522.96522971056</v>
      </c>
    </row>
    <row r="104" spans="1:10" ht="18.75">
      <c r="A104" s="541">
        <v>93</v>
      </c>
      <c r="B104" s="544" t="s">
        <v>895</v>
      </c>
      <c r="C104" s="13">
        <f>VLOOKUP(B104,'[3]BS cân đối NS xã (PL 9)'!$B$16:$L$115,2,FALSE)</f>
        <v>66000</v>
      </c>
      <c r="D104" s="13">
        <f>VLOOKUP(B104,'[3]BS cân đối NS xã (PL 9)'!$B$17:$D$115,3,FALSE)</f>
        <v>51130</v>
      </c>
      <c r="E104" s="546">
        <v>1550</v>
      </c>
      <c r="F104" s="13">
        <f t="shared" si="5"/>
        <v>49580</v>
      </c>
      <c r="G104" s="13">
        <f>VLOOKUP(B104,'[3]BS cân đối NS xã (PL 9)'!$B$16:$L$115,9,FALSE)</f>
        <v>76985.945484215132</v>
      </c>
      <c r="H104" s="13">
        <f>VLOOKUP(B104,'[3]BS cân đối NS xã (PL 9)'!$B$16:$L$115,10,FALSE)</f>
        <v>19117.2998888244</v>
      </c>
      <c r="I104" s="545"/>
      <c r="J104" s="13">
        <f>VLOOKUP(B104,'[3]BS cân đối NS xã (PL 9)'!$B$16:$L$115,11,FALSE)</f>
        <v>147233.24537303954</v>
      </c>
    </row>
    <row r="105" spans="1:10" ht="18.75">
      <c r="A105" s="541">
        <v>94</v>
      </c>
      <c r="B105" s="544" t="s">
        <v>896</v>
      </c>
      <c r="C105" s="13">
        <f>VLOOKUP(B105,'[3]BS cân đối NS xã (PL 9)'!$B$16:$L$115,2,FALSE)</f>
        <v>776850</v>
      </c>
      <c r="D105" s="13">
        <f>VLOOKUP(B105,'[3]BS cân đối NS xã (PL 9)'!$B$17:$D$115,3,FALSE)</f>
        <v>134975</v>
      </c>
      <c r="E105" s="546">
        <v>4300</v>
      </c>
      <c r="F105" s="13">
        <f t="shared" si="5"/>
        <v>130675</v>
      </c>
      <c r="G105" s="13">
        <f>VLOOKUP(B105,'[3]BS cân đối NS xã (PL 9)'!$B$16:$L$115,9,FALSE)</f>
        <v>93835.884925529186</v>
      </c>
      <c r="H105" s="13">
        <f>VLOOKUP(B105,'[3]BS cân đối NS xã (PL 9)'!$B$16:$L$115,10,FALSE)</f>
        <v>25401.040598853997</v>
      </c>
      <c r="I105" s="545"/>
      <c r="J105" s="13">
        <f>VLOOKUP(B105,'[3]BS cân đối NS xã (PL 9)'!$B$16:$L$115,11,FALSE)</f>
        <v>254211.92552438317</v>
      </c>
    </row>
    <row r="106" spans="1:10" ht="18.75">
      <c r="A106" s="541">
        <v>95</v>
      </c>
      <c r="B106" s="544" t="s">
        <v>897</v>
      </c>
      <c r="C106" s="13">
        <f>VLOOKUP(B106,'[3]BS cân đối NS xã (PL 9)'!$B$16:$L$115,2,FALSE)</f>
        <v>181720</v>
      </c>
      <c r="D106" s="13">
        <f>VLOOKUP(B106,'[3]BS cân đối NS xã (PL 9)'!$B$17:$D$115,3,FALSE)</f>
        <v>62910</v>
      </c>
      <c r="E106" s="546">
        <v>3550</v>
      </c>
      <c r="F106" s="13">
        <f t="shared" si="5"/>
        <v>59360</v>
      </c>
      <c r="G106" s="13">
        <f>VLOOKUP(B106,'[3]BS cân đối NS xã (PL 9)'!$B$16:$L$115,9,FALSE)</f>
        <v>128130.04884861034</v>
      </c>
      <c r="H106" s="13">
        <f>VLOOKUP(B106,'[3]BS cân đối NS xã (PL 9)'!$B$16:$L$115,10,FALSE)</f>
        <v>35981.582185398198</v>
      </c>
      <c r="I106" s="545"/>
      <c r="J106" s="13">
        <f>VLOOKUP(B106,'[3]BS cân đối NS xã (PL 9)'!$B$16:$L$115,11,FALSE)</f>
        <v>227021.63103400855</v>
      </c>
    </row>
    <row r="107" spans="1:10" ht="18.75">
      <c r="A107" s="541">
        <v>96</v>
      </c>
      <c r="B107" s="544" t="s">
        <v>898</v>
      </c>
      <c r="C107" s="13">
        <f>VLOOKUP(B107,'[3]BS cân đối NS xã (PL 9)'!$B$16:$L$115,2,FALSE)</f>
        <v>24000</v>
      </c>
      <c r="D107" s="13">
        <f>VLOOKUP(B107,'[3]BS cân đối NS xã (PL 9)'!$B$17:$D$115,3,FALSE)</f>
        <v>2615</v>
      </c>
      <c r="E107" s="546">
        <v>1950</v>
      </c>
      <c r="F107" s="13">
        <f t="shared" si="5"/>
        <v>665</v>
      </c>
      <c r="G107" s="13">
        <f>VLOOKUP(B107,'[3]BS cân đối NS xã (PL 9)'!$B$16:$L$115,9,FALSE)</f>
        <v>71793.203875566513</v>
      </c>
      <c r="H107" s="13">
        <f>VLOOKUP(B107,'[3]BS cân đối NS xã (PL 9)'!$B$16:$L$115,10,FALSE)</f>
        <v>14905.521513817401</v>
      </c>
      <c r="I107" s="545"/>
      <c r="J107" s="13">
        <f>VLOOKUP(B107,'[3]BS cân đối NS xã (PL 9)'!$B$16:$L$115,11,FALSE)</f>
        <v>89313.725389383908</v>
      </c>
    </row>
    <row r="108" spans="1:10" ht="18.75">
      <c r="A108" s="541">
        <v>97</v>
      </c>
      <c r="B108" s="544" t="s">
        <v>899</v>
      </c>
      <c r="C108" s="13">
        <f>VLOOKUP(B108,'[3]BS cân đối NS xã (PL 9)'!$B$16:$L$115,2,FALSE)</f>
        <v>91580</v>
      </c>
      <c r="D108" s="13">
        <f>VLOOKUP(B108,'[3]BS cân đối NS xã (PL 9)'!$B$17:$D$115,3,FALSE)</f>
        <v>23015</v>
      </c>
      <c r="E108" s="546">
        <v>2100</v>
      </c>
      <c r="F108" s="13">
        <f t="shared" si="5"/>
        <v>20915</v>
      </c>
      <c r="G108" s="13">
        <f>VLOOKUP(B108,'[3]BS cân đối NS xã (PL 9)'!$B$16:$L$115,9,FALSE)</f>
        <v>44156.734550687441</v>
      </c>
      <c r="H108" s="13">
        <f>VLOOKUP(B108,'[3]BS cân đối NS xã (PL 9)'!$B$16:$L$115,10,FALSE)</f>
        <v>14826.826102862795</v>
      </c>
      <c r="I108" s="545"/>
      <c r="J108" s="13">
        <f>VLOOKUP(B108,'[3]BS cân đối NS xã (PL 9)'!$B$16:$L$115,11,FALSE)</f>
        <v>81998.56065355023</v>
      </c>
    </row>
    <row r="109" spans="1:10" ht="18.75">
      <c r="A109" s="541">
        <v>98</v>
      </c>
      <c r="B109" s="544" t="s">
        <v>900</v>
      </c>
      <c r="C109" s="13">
        <f>VLOOKUP(B109,'[3]BS cân đối NS xã (PL 9)'!$B$16:$L$115,2,FALSE)</f>
        <v>37300</v>
      </c>
      <c r="D109" s="13">
        <f>VLOOKUP(B109,'[3]BS cân đối NS xã (PL 9)'!$B$17:$D$115,3,FALSE)</f>
        <v>3850</v>
      </c>
      <c r="E109" s="546">
        <v>1600</v>
      </c>
      <c r="F109" s="13">
        <f t="shared" si="5"/>
        <v>2250</v>
      </c>
      <c r="G109" s="13">
        <f>VLOOKUP(B109,'[3]BS cân đối NS xã (PL 9)'!$B$16:$L$115,9,FALSE)</f>
        <v>61637.201165053761</v>
      </c>
      <c r="H109" s="13">
        <f>VLOOKUP(B109,'[3]BS cân đối NS xã (PL 9)'!$B$16:$L$115,10,FALSE)</f>
        <v>15369.193759931197</v>
      </c>
      <c r="I109" s="545"/>
      <c r="J109" s="13">
        <f>VLOOKUP(B109,'[3]BS cân đối NS xã (PL 9)'!$B$16:$L$115,11,FALSE)</f>
        <v>80856.394924984954</v>
      </c>
    </row>
    <row r="110" spans="1:10" ht="18.75">
      <c r="A110" s="541">
        <v>99</v>
      </c>
      <c r="B110" s="544" t="s">
        <v>901</v>
      </c>
      <c r="C110" s="13">
        <f>VLOOKUP(B110,'[3]BS cân đối NS xã (PL 9)'!$B$16:$L$115,2,FALSE)</f>
        <v>107850</v>
      </c>
      <c r="D110" s="13">
        <f>VLOOKUP(B110,'[3]BS cân đối NS xã (PL 9)'!$B$17:$D$115,3,FALSE)</f>
        <v>5075</v>
      </c>
      <c r="E110" s="546">
        <v>3500</v>
      </c>
      <c r="F110" s="13">
        <f t="shared" si="5"/>
        <v>1575</v>
      </c>
      <c r="G110" s="13">
        <f>VLOOKUP(B110,'[3]BS cân đối NS xã (PL 9)'!$B$16:$L$115,9,FALSE)</f>
        <v>81418.346300367761</v>
      </c>
      <c r="H110" s="13">
        <f>VLOOKUP(B110,'[3]BS cân đối NS xã (PL 9)'!$B$16:$L$115,10,FALSE)</f>
        <v>21132.804570861197</v>
      </c>
      <c r="I110" s="545"/>
      <c r="J110" s="13">
        <f>VLOOKUP(B110,'[3]BS cân đối NS xã (PL 9)'!$B$16:$L$115,11,FALSE)</f>
        <v>107626.15087122897</v>
      </c>
    </row>
  </sheetData>
  <mergeCells count="15">
    <mergeCell ref="A3:J3"/>
    <mergeCell ref="A4:J4"/>
    <mergeCell ref="A1:C1"/>
    <mergeCell ref="G1:J1"/>
    <mergeCell ref="G7:G9"/>
    <mergeCell ref="J7:J9"/>
    <mergeCell ref="I7:I9"/>
    <mergeCell ref="H7:H9"/>
    <mergeCell ref="D8:D9"/>
    <mergeCell ref="E8:F8"/>
    <mergeCell ref="B7:B9"/>
    <mergeCell ref="C7:C9"/>
    <mergeCell ref="D7:F7"/>
    <mergeCell ref="A7:A9"/>
    <mergeCell ref="H6:J6"/>
  </mergeCells>
  <pageMargins left="0.70866141732283505" right="0.70866141732283505" top="0.74803149606299202" bottom="0.74803149606299202" header="0.31496062992126" footer="0.31496062992126"/>
  <pageSetup paperSize="9"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FFFF00"/>
  </sheetPr>
  <dimension ref="A1:H109"/>
  <sheetViews>
    <sheetView showZeros="0" workbookViewId="0">
      <selection activeCell="F8" sqref="F8"/>
    </sheetView>
  </sheetViews>
  <sheetFormatPr defaultColWidth="9.140625" defaultRowHeight="18"/>
  <cols>
    <col min="1" max="1" width="9.140625" style="114"/>
    <col min="2" max="2" width="35.7109375" style="114" customWidth="1"/>
    <col min="3" max="3" width="14.140625" style="114" customWidth="1"/>
    <col min="4" max="5" width="17.42578125" style="572" customWidth="1"/>
    <col min="6" max="6" width="16.28515625" style="572" customWidth="1"/>
    <col min="7" max="7" width="9.140625" style="114"/>
    <col min="8" max="8" width="26.7109375" style="114" customWidth="1"/>
    <col min="9" max="16384" width="9.140625" style="114"/>
  </cols>
  <sheetData>
    <row r="1" spans="1:8" ht="18.75">
      <c r="A1" s="779" t="s">
        <v>1629</v>
      </c>
      <c r="B1" s="779"/>
      <c r="C1" s="434"/>
      <c r="D1" s="780" t="s">
        <v>381</v>
      </c>
      <c r="E1" s="780"/>
      <c r="F1" s="780"/>
      <c r="G1" s="179"/>
    </row>
    <row r="2" spans="1:8" ht="18.75">
      <c r="A2" s="435"/>
      <c r="B2" s="435"/>
      <c r="C2" s="434"/>
      <c r="D2" s="565"/>
      <c r="E2" s="565"/>
      <c r="F2" s="565"/>
      <c r="G2" s="179"/>
    </row>
    <row r="3" spans="1:8" ht="21.6" customHeight="1">
      <c r="A3" s="782" t="s">
        <v>383</v>
      </c>
      <c r="B3" s="782"/>
      <c r="C3" s="782"/>
      <c r="D3" s="782"/>
      <c r="E3" s="782"/>
      <c r="F3" s="782"/>
    </row>
    <row r="4" spans="1:8" ht="21.6" customHeight="1">
      <c r="A4" s="782" t="s">
        <v>1639</v>
      </c>
      <c r="B4" s="782"/>
      <c r="C4" s="782"/>
      <c r="D4" s="782"/>
      <c r="E4" s="782"/>
      <c r="F4" s="782"/>
    </row>
    <row r="5" spans="1:8" ht="19.5">
      <c r="A5" s="781" t="s">
        <v>147</v>
      </c>
      <c r="B5" s="781"/>
      <c r="C5" s="781"/>
      <c r="D5" s="781"/>
      <c r="E5" s="781"/>
      <c r="F5" s="781"/>
    </row>
    <row r="6" spans="1:8" ht="12.75" customHeight="1">
      <c r="B6" s="362"/>
      <c r="C6" s="362"/>
      <c r="D6" s="556"/>
      <c r="E6" s="556"/>
      <c r="F6" s="556"/>
    </row>
    <row r="7" spans="1:8">
      <c r="D7" s="778" t="s">
        <v>64</v>
      </c>
      <c r="E7" s="778"/>
      <c r="F7" s="778"/>
    </row>
    <row r="8" spans="1:8" s="437" customFormat="1" ht="128.44999999999999" customHeight="1">
      <c r="A8" s="436" t="s">
        <v>65</v>
      </c>
      <c r="B8" s="111" t="s">
        <v>3</v>
      </c>
      <c r="C8" s="111" t="s">
        <v>27</v>
      </c>
      <c r="D8" s="566" t="s">
        <v>317</v>
      </c>
      <c r="E8" s="566" t="s">
        <v>318</v>
      </c>
      <c r="F8" s="566" t="s">
        <v>319</v>
      </c>
    </row>
    <row r="9" spans="1:8" s="437" customFormat="1" ht="29.45" customHeight="1">
      <c r="A9" s="438" t="s">
        <v>55</v>
      </c>
      <c r="B9" s="112" t="s">
        <v>56</v>
      </c>
      <c r="C9" s="112" t="s">
        <v>320</v>
      </c>
      <c r="D9" s="567">
        <v>2</v>
      </c>
      <c r="E9" s="567">
        <v>3</v>
      </c>
      <c r="F9" s="567">
        <v>4</v>
      </c>
    </row>
    <row r="10" spans="1:8" s="20" customFormat="1" ht="25.9" customHeight="1">
      <c r="A10" s="202"/>
      <c r="B10" s="111" t="s">
        <v>54</v>
      </c>
      <c r="C10" s="568">
        <f>SUM(C11:C109)</f>
        <v>1044490.2824799995</v>
      </c>
      <c r="D10" s="568">
        <f>SUM(D11:D109)</f>
        <v>11002</v>
      </c>
      <c r="E10" s="568">
        <f>SUM(E11:E109)</f>
        <v>1033488.2824799995</v>
      </c>
      <c r="F10" s="568">
        <f t="shared" ref="F10" si="0">SUM(F11:F19)</f>
        <v>0</v>
      </c>
      <c r="H10" s="19"/>
    </row>
    <row r="11" spans="1:8" s="11" customFormat="1" ht="25.9" customHeight="1">
      <c r="A11" s="553">
        <v>1</v>
      </c>
      <c r="B11" s="554" t="s">
        <v>803</v>
      </c>
      <c r="C11" s="113">
        <f>D11+E11+F11</f>
        <v>6208.784607999999</v>
      </c>
      <c r="D11" s="113"/>
      <c r="E11" s="569">
        <f>VLOOKUP(B11,'[3]BS mục tiêu xã (PL 10)'!$B$11:$C$109,2,FALSE)</f>
        <v>6208.784607999999</v>
      </c>
      <c r="F11" s="570"/>
      <c r="H11" s="19"/>
    </row>
    <row r="12" spans="1:8" s="11" customFormat="1" ht="25.9" customHeight="1">
      <c r="A12" s="553">
        <v>2</v>
      </c>
      <c r="B12" s="554" t="s">
        <v>804</v>
      </c>
      <c r="C12" s="113">
        <f t="shared" ref="C12:C75" si="1">D12+E12+F12</f>
        <v>11846.937376</v>
      </c>
      <c r="D12" s="113"/>
      <c r="E12" s="569">
        <f>VLOOKUP(B12,'[3]BS mục tiêu xã (PL 10)'!$B$11:$C$109,2,FALSE)</f>
        <v>11846.937376</v>
      </c>
      <c r="F12" s="570"/>
      <c r="H12" s="19"/>
    </row>
    <row r="13" spans="1:8" s="11" customFormat="1" ht="25.9" customHeight="1">
      <c r="A13" s="553">
        <v>3</v>
      </c>
      <c r="B13" s="554" t="s">
        <v>805</v>
      </c>
      <c r="C13" s="113">
        <f t="shared" si="1"/>
        <v>2250.2492480000001</v>
      </c>
      <c r="D13" s="113"/>
      <c r="E13" s="569">
        <f>VLOOKUP(B13,'[3]BS mục tiêu xã (PL 10)'!$B$11:$C$109,2,FALSE)</f>
        <v>2250.2492480000001</v>
      </c>
      <c r="F13" s="570"/>
      <c r="H13" s="19"/>
    </row>
    <row r="14" spans="1:8" s="11" customFormat="1" ht="25.9" customHeight="1">
      <c r="A14" s="553">
        <v>4</v>
      </c>
      <c r="B14" s="554" t="s">
        <v>806</v>
      </c>
      <c r="C14" s="113">
        <f t="shared" si="1"/>
        <v>2665.5198719999999</v>
      </c>
      <c r="D14" s="113"/>
      <c r="E14" s="569">
        <f>VLOOKUP(B14,'[3]BS mục tiêu xã (PL 10)'!$B$11:$C$109,2,FALSE)</f>
        <v>2665.5198719999999</v>
      </c>
      <c r="F14" s="570"/>
      <c r="H14" s="19"/>
    </row>
    <row r="15" spans="1:8" s="11" customFormat="1" ht="25.9" customHeight="1">
      <c r="A15" s="553">
        <v>5</v>
      </c>
      <c r="B15" s="554" t="s">
        <v>807</v>
      </c>
      <c r="C15" s="113">
        <f t="shared" si="1"/>
        <v>5491.5845120000004</v>
      </c>
      <c r="D15" s="113"/>
      <c r="E15" s="569">
        <f>VLOOKUP(B15,'[3]BS mục tiêu xã (PL 10)'!$B$11:$C$109,2,FALSE)</f>
        <v>5491.5845120000004</v>
      </c>
      <c r="F15" s="570"/>
      <c r="H15" s="19"/>
    </row>
    <row r="16" spans="1:8" s="11" customFormat="1" ht="25.9" customHeight="1">
      <c r="A16" s="553">
        <v>6</v>
      </c>
      <c r="B16" s="554" t="s">
        <v>808</v>
      </c>
      <c r="C16" s="113">
        <f t="shared" si="1"/>
        <v>13491.10368</v>
      </c>
      <c r="D16" s="113"/>
      <c r="E16" s="569">
        <f>VLOOKUP(B16,'[3]BS mục tiêu xã (PL 10)'!$B$11:$C$109,2,FALSE)</f>
        <v>13491.10368</v>
      </c>
      <c r="F16" s="570"/>
      <c r="H16" s="19"/>
    </row>
    <row r="17" spans="1:8" s="11" customFormat="1" ht="25.9" customHeight="1">
      <c r="A17" s="553">
        <v>7</v>
      </c>
      <c r="B17" s="554" t="s">
        <v>809</v>
      </c>
      <c r="C17" s="113">
        <f t="shared" si="1"/>
        <v>17210.680288</v>
      </c>
      <c r="D17" s="113"/>
      <c r="E17" s="569">
        <f>VLOOKUP(B17,'[3]BS mục tiêu xã (PL 10)'!$B$11:$C$109,2,FALSE)</f>
        <v>17210.680288</v>
      </c>
      <c r="F17" s="570"/>
      <c r="H17" s="19"/>
    </row>
    <row r="18" spans="1:8" s="11" customFormat="1" ht="25.9" customHeight="1">
      <c r="A18" s="553">
        <v>8</v>
      </c>
      <c r="B18" s="554" t="s">
        <v>810</v>
      </c>
      <c r="C18" s="113">
        <f t="shared" si="1"/>
        <v>9116.1036800000002</v>
      </c>
      <c r="D18" s="113"/>
      <c r="E18" s="569">
        <f>VLOOKUP(B18,'[3]BS mục tiêu xã (PL 10)'!$B$11:$C$109,2,FALSE)</f>
        <v>9116.1036800000002</v>
      </c>
      <c r="F18" s="570"/>
      <c r="H18" s="19"/>
    </row>
    <row r="19" spans="1:8" s="11" customFormat="1" ht="25.9" customHeight="1">
      <c r="A19" s="553">
        <v>9</v>
      </c>
      <c r="B19" s="554" t="s">
        <v>811</v>
      </c>
      <c r="C19" s="113">
        <f t="shared" si="1"/>
        <v>23311.341408</v>
      </c>
      <c r="D19" s="113"/>
      <c r="E19" s="569">
        <f>VLOOKUP(B19,'[3]BS mục tiêu xã (PL 10)'!$B$11:$C$109,2,FALSE)</f>
        <v>23311.341408</v>
      </c>
      <c r="F19" s="570"/>
      <c r="H19" s="19"/>
    </row>
    <row r="20" spans="1:8" ht="25.9" customHeight="1">
      <c r="A20" s="553">
        <v>10</v>
      </c>
      <c r="B20" s="554" t="s">
        <v>812</v>
      </c>
      <c r="C20" s="113">
        <f t="shared" si="1"/>
        <v>11477.057951999999</v>
      </c>
      <c r="D20" s="113"/>
      <c r="E20" s="569">
        <f>VLOOKUP(B20,'[3]BS mục tiêu xã (PL 10)'!$B$11:$C$109,2,FALSE)</f>
        <v>11477.057951999999</v>
      </c>
      <c r="F20" s="571"/>
    </row>
    <row r="21" spans="1:8" ht="18.75">
      <c r="A21" s="553">
        <v>11</v>
      </c>
      <c r="B21" s="554" t="s">
        <v>813</v>
      </c>
      <c r="C21" s="113">
        <f t="shared" si="1"/>
        <v>6142.7212800000007</v>
      </c>
      <c r="D21" s="113"/>
      <c r="E21" s="569">
        <f>VLOOKUP(B21,'[3]BS mục tiêu xã (PL 10)'!$B$11:$C$109,2,FALSE)</f>
        <v>6142.7212800000007</v>
      </c>
      <c r="F21" s="571"/>
    </row>
    <row r="22" spans="1:8" ht="18.75">
      <c r="A22" s="553">
        <v>12</v>
      </c>
      <c r="B22" s="554" t="s">
        <v>814</v>
      </c>
      <c r="C22" s="113">
        <f t="shared" si="1"/>
        <v>3165.1950720000004</v>
      </c>
      <c r="D22" s="113"/>
      <c r="E22" s="569">
        <f>VLOOKUP(B22,'[3]BS mục tiêu xã (PL 10)'!$B$11:$C$109,2,FALSE)</f>
        <v>3165.1950720000004</v>
      </c>
      <c r="F22" s="571"/>
    </row>
    <row r="23" spans="1:8" ht="18.75">
      <c r="A23" s="553">
        <v>13</v>
      </c>
      <c r="B23" s="554" t="s">
        <v>815</v>
      </c>
      <c r="C23" s="113">
        <f t="shared" si="1"/>
        <v>6721.7940159999998</v>
      </c>
      <c r="D23" s="113"/>
      <c r="E23" s="569">
        <f>VLOOKUP(B23,'[3]BS mục tiêu xã (PL 10)'!$B$11:$C$109,2,FALSE)</f>
        <v>6721.7940159999998</v>
      </c>
      <c r="F23" s="571"/>
    </row>
    <row r="24" spans="1:8" ht="18.75">
      <c r="A24" s="553">
        <v>14</v>
      </c>
      <c r="B24" s="554" t="s">
        <v>816</v>
      </c>
      <c r="C24" s="113">
        <f t="shared" si="1"/>
        <v>6411.4342080000006</v>
      </c>
      <c r="D24" s="113"/>
      <c r="E24" s="569">
        <f>VLOOKUP(B24,'[3]BS mục tiêu xã (PL 10)'!$B$11:$C$109,2,FALSE)</f>
        <v>6411.4342080000006</v>
      </c>
      <c r="F24" s="571"/>
    </row>
    <row r="25" spans="1:8" ht="18.75">
      <c r="A25" s="553">
        <v>15</v>
      </c>
      <c r="B25" s="554" t="s">
        <v>817</v>
      </c>
      <c r="C25" s="113">
        <f t="shared" si="1"/>
        <v>8225.0541759999996</v>
      </c>
      <c r="D25" s="113"/>
      <c r="E25" s="569">
        <f>VLOOKUP(B25,'[3]BS mục tiêu xã (PL 10)'!$B$11:$C$109,2,FALSE)</f>
        <v>8225.0541759999996</v>
      </c>
      <c r="F25" s="571"/>
    </row>
    <row r="26" spans="1:8" ht="18.75">
      <c r="A26" s="553">
        <v>16</v>
      </c>
      <c r="B26" s="554" t="s">
        <v>818</v>
      </c>
      <c r="C26" s="113">
        <f t="shared" si="1"/>
        <v>3852.9866239999997</v>
      </c>
      <c r="D26" s="113"/>
      <c r="E26" s="569">
        <f>VLOOKUP(B26,'[3]BS mục tiêu xã (PL 10)'!$B$11:$C$109,2,FALSE)</f>
        <v>3852.9866239999997</v>
      </c>
      <c r="F26" s="571"/>
    </row>
    <row r="27" spans="1:8" ht="18.75">
      <c r="A27" s="553">
        <v>17</v>
      </c>
      <c r="B27" s="554" t="s">
        <v>819</v>
      </c>
      <c r="C27" s="113">
        <f t="shared" si="1"/>
        <v>5810.4772160000002</v>
      </c>
      <c r="D27" s="113"/>
      <c r="E27" s="569">
        <f>VLOOKUP(B27,'[3]BS mục tiêu xã (PL 10)'!$B$11:$C$109,2,FALSE)</f>
        <v>5810.4772160000002</v>
      </c>
      <c r="F27" s="571"/>
    </row>
    <row r="28" spans="1:8" ht="18.75">
      <c r="A28" s="553">
        <v>18</v>
      </c>
      <c r="B28" s="554" t="s">
        <v>820</v>
      </c>
      <c r="C28" s="113">
        <f t="shared" si="1"/>
        <v>6230.4324480000005</v>
      </c>
      <c r="D28" s="113"/>
      <c r="E28" s="569">
        <f>VLOOKUP(B28,'[3]BS mục tiêu xã (PL 10)'!$B$11:$C$109,2,FALSE)</f>
        <v>6230.4324480000005</v>
      </c>
      <c r="F28" s="571"/>
    </row>
    <row r="29" spans="1:8" ht="18.75">
      <c r="A29" s="553">
        <v>19</v>
      </c>
      <c r="B29" s="554" t="s">
        <v>821</v>
      </c>
      <c r="C29" s="113">
        <f t="shared" si="1"/>
        <v>5184.1931200000008</v>
      </c>
      <c r="D29" s="113"/>
      <c r="E29" s="569">
        <f>VLOOKUP(B29,'[3]BS mục tiêu xã (PL 10)'!$B$11:$C$109,2,FALSE)</f>
        <v>5184.1931200000008</v>
      </c>
      <c r="F29" s="571"/>
    </row>
    <row r="30" spans="1:8" ht="18.75">
      <c r="A30" s="553">
        <v>20</v>
      </c>
      <c r="B30" s="554" t="s">
        <v>822</v>
      </c>
      <c r="C30" s="113">
        <f t="shared" si="1"/>
        <v>2491.0753599999998</v>
      </c>
      <c r="D30" s="113"/>
      <c r="E30" s="569">
        <f>VLOOKUP(B30,'[3]BS mục tiêu xã (PL 10)'!$B$11:$C$109,2,FALSE)</f>
        <v>2491.0753599999998</v>
      </c>
      <c r="F30" s="571"/>
    </row>
    <row r="31" spans="1:8" ht="18.75">
      <c r="A31" s="553">
        <v>21</v>
      </c>
      <c r="B31" s="554" t="s">
        <v>823</v>
      </c>
      <c r="C31" s="113">
        <f t="shared" si="1"/>
        <v>20976.863487999999</v>
      </c>
      <c r="D31" s="113"/>
      <c r="E31" s="569">
        <f>VLOOKUP(B31,'[3]BS mục tiêu xã (PL 10)'!$B$11:$C$109,2,FALSE)</f>
        <v>20976.863487999999</v>
      </c>
      <c r="F31" s="571"/>
    </row>
    <row r="32" spans="1:8" ht="18.75">
      <c r="A32" s="553">
        <v>22</v>
      </c>
      <c r="B32" s="554" t="s">
        <v>824</v>
      </c>
      <c r="C32" s="113">
        <f t="shared" si="1"/>
        <v>2470.7180159999998</v>
      </c>
      <c r="D32" s="113"/>
      <c r="E32" s="569">
        <f>VLOOKUP(B32,'[3]BS mục tiêu xã (PL 10)'!$B$11:$C$109,2,FALSE)</f>
        <v>2470.7180159999998</v>
      </c>
      <c r="F32" s="571"/>
    </row>
    <row r="33" spans="1:6" ht="18.75">
      <c r="A33" s="553">
        <v>23</v>
      </c>
      <c r="B33" s="554" t="s">
        <v>825</v>
      </c>
      <c r="C33" s="113">
        <f t="shared" si="1"/>
        <v>23860.200064000001</v>
      </c>
      <c r="D33" s="113"/>
      <c r="E33" s="569">
        <f>VLOOKUP(B33,'[3]BS mục tiêu xã (PL 10)'!$B$11:$C$109,2,FALSE)</f>
        <v>23860.200064000001</v>
      </c>
      <c r="F33" s="571"/>
    </row>
    <row r="34" spans="1:6" ht="18.75">
      <c r="A34" s="553">
        <v>24</v>
      </c>
      <c r="B34" s="554" t="s">
        <v>826</v>
      </c>
      <c r="C34" s="113">
        <f t="shared" si="1"/>
        <v>20840.567967999999</v>
      </c>
      <c r="D34" s="113"/>
      <c r="E34" s="569">
        <f>VLOOKUP(B34,'[3]BS mục tiêu xã (PL 10)'!$B$11:$C$109,2,FALSE)</f>
        <v>20840.567967999999</v>
      </c>
      <c r="F34" s="571"/>
    </row>
    <row r="35" spans="1:6" ht="18.75">
      <c r="A35" s="553">
        <v>25</v>
      </c>
      <c r="B35" s="554" t="s">
        <v>827</v>
      </c>
      <c r="C35" s="113">
        <f t="shared" si="1"/>
        <v>10234.762432</v>
      </c>
      <c r="D35" s="113"/>
      <c r="E35" s="569">
        <f>VLOOKUP(B35,'[3]BS mục tiêu xã (PL 10)'!$B$11:$C$109,2,FALSE)</f>
        <v>10234.762432</v>
      </c>
      <c r="F35" s="571"/>
    </row>
    <row r="36" spans="1:6" ht="18.75">
      <c r="A36" s="553">
        <v>26</v>
      </c>
      <c r="B36" s="554" t="s">
        <v>828</v>
      </c>
      <c r="C36" s="113">
        <f t="shared" si="1"/>
        <v>15592.362688000001</v>
      </c>
      <c r="D36" s="113"/>
      <c r="E36" s="569">
        <f>VLOOKUP(B36,'[3]BS mục tiêu xã (PL 10)'!$B$11:$C$109,2,FALSE)</f>
        <v>15592.362688000001</v>
      </c>
      <c r="F36" s="571"/>
    </row>
    <row r="37" spans="1:6" ht="18.75">
      <c r="A37" s="553">
        <v>27</v>
      </c>
      <c r="B37" s="554" t="s">
        <v>829</v>
      </c>
      <c r="C37" s="113">
        <f t="shared" si="1"/>
        <v>12695.182272</v>
      </c>
      <c r="D37" s="113"/>
      <c r="E37" s="569">
        <f>VLOOKUP(B37,'[3]BS mục tiêu xã (PL 10)'!$B$11:$C$109,2,FALSE)</f>
        <v>12695.182272</v>
      </c>
      <c r="F37" s="571"/>
    </row>
    <row r="38" spans="1:6" ht="18.75">
      <c r="A38" s="553">
        <v>28</v>
      </c>
      <c r="B38" s="554" t="s">
        <v>830</v>
      </c>
      <c r="C38" s="113">
        <f t="shared" si="1"/>
        <v>10006.454336000001</v>
      </c>
      <c r="D38" s="113"/>
      <c r="E38" s="569">
        <f>VLOOKUP(B38,'[3]BS mục tiêu xã (PL 10)'!$B$11:$C$109,2,FALSE)</f>
        <v>10006.454336000001</v>
      </c>
      <c r="F38" s="571"/>
    </row>
    <row r="39" spans="1:6" ht="18.75">
      <c r="A39" s="553">
        <v>29</v>
      </c>
      <c r="B39" s="554" t="s">
        <v>831</v>
      </c>
      <c r="C39" s="113">
        <f t="shared" si="1"/>
        <v>16966.727776</v>
      </c>
      <c r="D39" s="113"/>
      <c r="E39" s="569">
        <f>VLOOKUP(B39,'[3]BS mục tiêu xã (PL 10)'!$B$11:$C$109,2,FALSE)</f>
        <v>16966.727776</v>
      </c>
      <c r="F39" s="571"/>
    </row>
    <row r="40" spans="1:6" ht="18.75">
      <c r="A40" s="553">
        <v>30</v>
      </c>
      <c r="B40" s="554" t="s">
        <v>832</v>
      </c>
      <c r="C40" s="113">
        <f t="shared" si="1"/>
        <v>23300.073664</v>
      </c>
      <c r="D40" s="113"/>
      <c r="E40" s="569">
        <f>VLOOKUP(B40,'[3]BS mục tiêu xã (PL 10)'!$B$11:$C$109,2,FALSE)</f>
        <v>23300.073664</v>
      </c>
      <c r="F40" s="571"/>
    </row>
    <row r="41" spans="1:6" ht="18.75">
      <c r="A41" s="553">
        <v>31</v>
      </c>
      <c r="B41" s="554" t="s">
        <v>833</v>
      </c>
      <c r="C41" s="113">
        <f t="shared" si="1"/>
        <v>21419.646335999998</v>
      </c>
      <c r="D41" s="113"/>
      <c r="E41" s="569">
        <f>VLOOKUP(B41,'[3]BS mục tiêu xã (PL 10)'!$B$11:$C$109,2,FALSE)</f>
        <v>21419.646335999998</v>
      </c>
      <c r="F41" s="571"/>
    </row>
    <row r="42" spans="1:6" ht="18.75">
      <c r="A42" s="553">
        <v>32</v>
      </c>
      <c r="B42" s="554" t="s">
        <v>834</v>
      </c>
      <c r="C42" s="113">
        <f t="shared" si="1"/>
        <v>10568.654784</v>
      </c>
      <c r="D42" s="113"/>
      <c r="E42" s="569">
        <f>VLOOKUP(B42,'[3]BS mục tiêu xã (PL 10)'!$B$11:$C$109,2,FALSE)</f>
        <v>10568.654784</v>
      </c>
      <c r="F42" s="571"/>
    </row>
    <row r="43" spans="1:6" ht="18.75">
      <c r="A43" s="553">
        <v>33</v>
      </c>
      <c r="B43" s="554" t="s">
        <v>835</v>
      </c>
      <c r="C43" s="113">
        <f t="shared" si="1"/>
        <v>17518.783263999998</v>
      </c>
      <c r="D43" s="113"/>
      <c r="E43" s="569">
        <f>VLOOKUP(B43,'[3]BS mục tiêu xã (PL 10)'!$B$11:$C$109,2,FALSE)</f>
        <v>17518.783263999998</v>
      </c>
      <c r="F43" s="571"/>
    </row>
    <row r="44" spans="1:6" ht="18.75">
      <c r="A44" s="553">
        <v>34</v>
      </c>
      <c r="B44" s="554" t="s">
        <v>836</v>
      </c>
      <c r="C44" s="113">
        <f t="shared" si="1"/>
        <v>30678.689760000001</v>
      </c>
      <c r="D44" s="113"/>
      <c r="E44" s="569">
        <f>VLOOKUP(B44,'[3]BS mục tiêu xã (PL 10)'!$B$11:$C$109,2,FALSE)</f>
        <v>30678.689760000001</v>
      </c>
      <c r="F44" s="571"/>
    </row>
    <row r="45" spans="1:6" ht="18.75">
      <c r="A45" s="553">
        <v>35</v>
      </c>
      <c r="B45" s="554" t="s">
        <v>837</v>
      </c>
      <c r="C45" s="113">
        <f t="shared" si="1"/>
        <v>25024.732064</v>
      </c>
      <c r="D45" s="113"/>
      <c r="E45" s="569">
        <f>VLOOKUP(B45,'[3]BS mục tiêu xã (PL 10)'!$B$11:$C$109,2,FALSE)</f>
        <v>25024.732064</v>
      </c>
      <c r="F45" s="571"/>
    </row>
    <row r="46" spans="1:6" ht="18.75">
      <c r="A46" s="553">
        <v>36</v>
      </c>
      <c r="B46" s="554" t="s">
        <v>838</v>
      </c>
      <c r="C46" s="113">
        <f t="shared" si="1"/>
        <v>9926.6961920000012</v>
      </c>
      <c r="D46" s="113"/>
      <c r="E46" s="569">
        <f>VLOOKUP(B46,'[3]BS mục tiêu xã (PL 10)'!$B$11:$C$109,2,FALSE)</f>
        <v>9926.6961920000012</v>
      </c>
      <c r="F46" s="571"/>
    </row>
    <row r="47" spans="1:6" ht="18.75">
      <c r="A47" s="553">
        <v>37</v>
      </c>
      <c r="B47" s="554" t="s">
        <v>839</v>
      </c>
      <c r="C47" s="113">
        <f t="shared" si="1"/>
        <v>7293.5646399999996</v>
      </c>
      <c r="D47" s="113"/>
      <c r="E47" s="569">
        <f>VLOOKUP(B47,'[3]BS mục tiêu xã (PL 10)'!$B$11:$C$109,2,FALSE)</f>
        <v>7293.5646399999996</v>
      </c>
      <c r="F47" s="571"/>
    </row>
    <row r="48" spans="1:6" ht="18.75">
      <c r="A48" s="553">
        <v>38</v>
      </c>
      <c r="B48" s="554" t="s">
        <v>840</v>
      </c>
      <c r="C48" s="113">
        <f t="shared" si="1"/>
        <v>3000.2789760000005</v>
      </c>
      <c r="D48" s="113"/>
      <c r="E48" s="569">
        <f>VLOOKUP(B48,'[3]BS mục tiêu xã (PL 10)'!$B$11:$C$109,2,FALSE)</f>
        <v>3000.2789760000005</v>
      </c>
      <c r="F48" s="571"/>
    </row>
    <row r="49" spans="1:6" ht="18.75">
      <c r="A49" s="553">
        <v>39</v>
      </c>
      <c r="B49" s="554" t="s">
        <v>841</v>
      </c>
      <c r="C49" s="113">
        <f t="shared" si="1"/>
        <v>10840.268672000002</v>
      </c>
      <c r="D49" s="113"/>
      <c r="E49" s="569">
        <f>VLOOKUP(B49,'[3]BS mục tiêu xã (PL 10)'!$B$11:$C$109,2,FALSE)</f>
        <v>10840.268672000002</v>
      </c>
      <c r="F49" s="571"/>
    </row>
    <row r="50" spans="1:6" ht="18.75">
      <c r="A50" s="553">
        <v>40</v>
      </c>
      <c r="B50" s="554" t="s">
        <v>842</v>
      </c>
      <c r="C50" s="113">
        <f t="shared" si="1"/>
        <v>4451.4083520000004</v>
      </c>
      <c r="D50" s="113"/>
      <c r="E50" s="569">
        <f>VLOOKUP(B50,'[3]BS mục tiêu xã (PL 10)'!$B$11:$C$109,2,FALSE)</f>
        <v>4451.4083520000004</v>
      </c>
      <c r="F50" s="571"/>
    </row>
    <row r="51" spans="1:6" ht="18.75">
      <c r="A51" s="553">
        <v>41</v>
      </c>
      <c r="B51" s="554" t="s">
        <v>843</v>
      </c>
      <c r="C51" s="113">
        <f t="shared" si="1"/>
        <v>13590.574752</v>
      </c>
      <c r="D51" s="113"/>
      <c r="E51" s="569">
        <f>VLOOKUP(B51,'[3]BS mục tiêu xã (PL 10)'!$B$11:$C$109,2,FALSE)</f>
        <v>13590.574752</v>
      </c>
      <c r="F51" s="571"/>
    </row>
    <row r="52" spans="1:6" ht="18.75">
      <c r="A52" s="553">
        <v>42</v>
      </c>
      <c r="B52" s="554" t="s">
        <v>844</v>
      </c>
      <c r="C52" s="113">
        <f t="shared" si="1"/>
        <v>8978.8195200000009</v>
      </c>
      <c r="D52" s="113"/>
      <c r="E52" s="569">
        <f>VLOOKUP(B52,'[3]BS mục tiêu xã (PL 10)'!$B$11:$C$109,2,FALSE)</f>
        <v>8978.8195200000009</v>
      </c>
      <c r="F52" s="571"/>
    </row>
    <row r="53" spans="1:6" ht="18.75">
      <c r="A53" s="553">
        <v>43</v>
      </c>
      <c r="B53" s="554" t="s">
        <v>845</v>
      </c>
      <c r="C53" s="113">
        <f t="shared" si="1"/>
        <v>11818.603423999999</v>
      </c>
      <c r="D53" s="113"/>
      <c r="E53" s="569">
        <f>VLOOKUP(B53,'[3]BS mục tiêu xã (PL 10)'!$B$11:$C$109,2,FALSE)</f>
        <v>11818.603423999999</v>
      </c>
      <c r="F53" s="571"/>
    </row>
    <row r="54" spans="1:6" ht="18.75">
      <c r="A54" s="553">
        <v>44</v>
      </c>
      <c r="B54" s="554" t="s">
        <v>846</v>
      </c>
      <c r="C54" s="113">
        <f t="shared" si="1"/>
        <v>2966.9122240000002</v>
      </c>
      <c r="D54" s="113"/>
      <c r="E54" s="569">
        <f>VLOOKUP(B54,'[3]BS mục tiêu xã (PL 10)'!$B$11:$C$109,2,FALSE)</f>
        <v>2966.9122240000002</v>
      </c>
      <c r="F54" s="571"/>
    </row>
    <row r="55" spans="1:6" ht="18.75">
      <c r="A55" s="553">
        <v>45</v>
      </c>
      <c r="B55" s="554" t="s">
        <v>847</v>
      </c>
      <c r="C55" s="113">
        <f t="shared" si="1"/>
        <v>22969.890208000001</v>
      </c>
      <c r="D55" s="113"/>
      <c r="E55" s="569">
        <f>VLOOKUP(B55,'[3]BS mục tiêu xã (PL 10)'!$B$11:$C$109,2,FALSE)</f>
        <v>22969.890208000001</v>
      </c>
      <c r="F55" s="571"/>
    </row>
    <row r="56" spans="1:6" ht="18.75">
      <c r="A56" s="555">
        <v>46</v>
      </c>
      <c r="B56" s="554" t="s">
        <v>848</v>
      </c>
      <c r="C56" s="113">
        <f t="shared" si="1"/>
        <v>24037.046144</v>
      </c>
      <c r="D56" s="113"/>
      <c r="E56" s="569">
        <f>VLOOKUP(B56,'[3]BS mục tiêu xã (PL 10)'!$B$11:$C$109,2,FALSE)</f>
        <v>24037.046144</v>
      </c>
      <c r="F56" s="571"/>
    </row>
    <row r="57" spans="1:6" ht="18.75">
      <c r="A57" s="553">
        <v>47</v>
      </c>
      <c r="B57" s="554" t="s">
        <v>849</v>
      </c>
      <c r="C57" s="113">
        <f t="shared" si="1"/>
        <v>7711.7019200000004</v>
      </c>
      <c r="D57" s="113"/>
      <c r="E57" s="569">
        <f>VLOOKUP(B57,'[3]BS mục tiêu xã (PL 10)'!$B$11:$C$109,2,FALSE)</f>
        <v>7711.7019200000004</v>
      </c>
      <c r="F57" s="571"/>
    </row>
    <row r="58" spans="1:6" ht="18.75">
      <c r="A58" s="553">
        <v>48</v>
      </c>
      <c r="B58" s="554" t="s">
        <v>850</v>
      </c>
      <c r="C58" s="113">
        <f t="shared" si="1"/>
        <v>26220.149968000002</v>
      </c>
      <c r="D58" s="113"/>
      <c r="E58" s="569">
        <f>VLOOKUP(B58,'[3]BS mục tiêu xã (PL 10)'!$B$11:$C$109,2,FALSE)</f>
        <v>26220.149968000002</v>
      </c>
      <c r="F58" s="571"/>
    </row>
    <row r="59" spans="1:6" ht="18.75">
      <c r="A59" s="553">
        <v>49</v>
      </c>
      <c r="B59" s="554" t="s">
        <v>851</v>
      </c>
      <c r="C59" s="113">
        <f t="shared" si="1"/>
        <v>21092.7896</v>
      </c>
      <c r="D59" s="113"/>
      <c r="E59" s="569">
        <f>VLOOKUP(B59,'[3]BS mục tiêu xã (PL 10)'!$B$11:$C$109,2,FALSE)</f>
        <v>21092.7896</v>
      </c>
      <c r="F59" s="571"/>
    </row>
    <row r="60" spans="1:6" ht="18.75">
      <c r="A60" s="553">
        <v>50</v>
      </c>
      <c r="B60" s="554" t="s">
        <v>852</v>
      </c>
      <c r="C60" s="113">
        <f t="shared" si="1"/>
        <v>8173.2051519999995</v>
      </c>
      <c r="D60" s="113"/>
      <c r="E60" s="569">
        <f>VLOOKUP(B60,'[3]BS mục tiêu xã (PL 10)'!$B$11:$C$109,2,FALSE)</f>
        <v>8173.2051519999995</v>
      </c>
      <c r="F60" s="571"/>
    </row>
    <row r="61" spans="1:6" ht="18.75">
      <c r="A61" s="553">
        <v>51</v>
      </c>
      <c r="B61" s="554" t="s">
        <v>853</v>
      </c>
      <c r="C61" s="113">
        <f t="shared" si="1"/>
        <v>32410.364000000001</v>
      </c>
      <c r="D61" s="113"/>
      <c r="E61" s="569">
        <f>VLOOKUP(B61,'[3]BS mục tiêu xã (PL 10)'!$B$11:$C$109,2,FALSE)</f>
        <v>32410.364000000001</v>
      </c>
      <c r="F61" s="571"/>
    </row>
    <row r="62" spans="1:6" ht="18.75">
      <c r="A62" s="553">
        <v>52</v>
      </c>
      <c r="B62" s="554" t="s">
        <v>854</v>
      </c>
      <c r="C62" s="113">
        <f t="shared" si="1"/>
        <v>9188.3429119999983</v>
      </c>
      <c r="D62" s="113"/>
      <c r="E62" s="569">
        <f>VLOOKUP(B62,'[3]BS mục tiêu xã (PL 10)'!$B$11:$C$109,2,FALSE)</f>
        <v>9188.3429119999983</v>
      </c>
      <c r="F62" s="571"/>
    </row>
    <row r="63" spans="1:6" ht="18.75">
      <c r="A63" s="553">
        <v>53</v>
      </c>
      <c r="B63" s="554" t="s">
        <v>855</v>
      </c>
      <c r="C63" s="113">
        <f t="shared" si="1"/>
        <v>20607.932159999997</v>
      </c>
      <c r="D63" s="113"/>
      <c r="E63" s="569">
        <f>VLOOKUP(B63,'[3]BS mục tiêu xã (PL 10)'!$B$11:$C$109,2,FALSE)</f>
        <v>20607.932159999997</v>
      </c>
      <c r="F63" s="571"/>
    </row>
    <row r="64" spans="1:6" ht="18.75">
      <c r="A64" s="553">
        <v>54</v>
      </c>
      <c r="B64" s="554" t="s">
        <v>856</v>
      </c>
      <c r="C64" s="113">
        <f t="shared" si="1"/>
        <v>17868.015456000001</v>
      </c>
      <c r="D64" s="113"/>
      <c r="E64" s="569">
        <f>VLOOKUP(B64,'[3]BS mục tiêu xã (PL 10)'!$B$11:$C$109,2,FALSE)</f>
        <v>17868.015456000001</v>
      </c>
      <c r="F64" s="571"/>
    </row>
    <row r="65" spans="1:6" ht="18.75">
      <c r="A65" s="553">
        <v>55</v>
      </c>
      <c r="B65" s="554" t="s">
        <v>857</v>
      </c>
      <c r="C65" s="113">
        <f t="shared" si="1"/>
        <v>6843.7735999999995</v>
      </c>
      <c r="D65" s="113"/>
      <c r="E65" s="569">
        <f>VLOOKUP(B65,'[3]BS mục tiêu xã (PL 10)'!$B$11:$C$109,2,FALSE)</f>
        <v>6843.7735999999995</v>
      </c>
      <c r="F65" s="571"/>
    </row>
    <row r="66" spans="1:6" ht="18.75">
      <c r="A66" s="553">
        <v>56</v>
      </c>
      <c r="B66" s="554" t="s">
        <v>858</v>
      </c>
      <c r="C66" s="113">
        <f t="shared" si="1"/>
        <v>12958.23552</v>
      </c>
      <c r="D66" s="113"/>
      <c r="E66" s="569">
        <f>VLOOKUP(B66,'[3]BS mục tiêu xã (PL 10)'!$B$11:$C$109,2,FALSE)</f>
        <v>12958.23552</v>
      </c>
      <c r="F66" s="571"/>
    </row>
    <row r="67" spans="1:6" ht="18.75">
      <c r="A67" s="553">
        <v>57</v>
      </c>
      <c r="B67" s="554" t="s">
        <v>859</v>
      </c>
      <c r="C67" s="113">
        <f t="shared" si="1"/>
        <v>28998.135584</v>
      </c>
      <c r="D67" s="113"/>
      <c r="E67" s="569">
        <f>VLOOKUP(B67,'[3]BS mục tiêu xã (PL 10)'!$B$11:$C$109,2,FALSE)</f>
        <v>28998.135584</v>
      </c>
      <c r="F67" s="571"/>
    </row>
    <row r="68" spans="1:6" ht="18.75">
      <c r="A68" s="553">
        <v>58</v>
      </c>
      <c r="B68" s="554" t="s">
        <v>860</v>
      </c>
      <c r="C68" s="113">
        <f t="shared" si="1"/>
        <v>16903.625919999999</v>
      </c>
      <c r="D68" s="113"/>
      <c r="E68" s="569">
        <f>VLOOKUP(B68,'[3]BS mục tiêu xã (PL 10)'!$B$11:$C$109,2,FALSE)</f>
        <v>16903.625919999999</v>
      </c>
      <c r="F68" s="571"/>
    </row>
    <row r="69" spans="1:6" ht="18.75">
      <c r="A69" s="553">
        <v>59</v>
      </c>
      <c r="B69" s="554" t="s">
        <v>861</v>
      </c>
      <c r="C69" s="113">
        <f t="shared" si="1"/>
        <v>27744.312895999999</v>
      </c>
      <c r="D69" s="113"/>
      <c r="E69" s="569">
        <f>VLOOKUP(B69,'[3]BS mục tiêu xã (PL 10)'!$B$11:$C$109,2,FALSE)</f>
        <v>27744.312895999999</v>
      </c>
      <c r="F69" s="571"/>
    </row>
    <row r="70" spans="1:6" ht="18.75">
      <c r="A70" s="553">
        <v>60</v>
      </c>
      <c r="B70" s="554" t="s">
        <v>862</v>
      </c>
      <c r="C70" s="113">
        <f t="shared" si="1"/>
        <v>6019.0628319999996</v>
      </c>
      <c r="D70" s="113"/>
      <c r="E70" s="569">
        <f>VLOOKUP(B70,'[3]BS mục tiêu xã (PL 10)'!$B$11:$C$109,2,FALSE)</f>
        <v>6019.0628319999996</v>
      </c>
      <c r="F70" s="571"/>
    </row>
    <row r="71" spans="1:6" ht="18.75">
      <c r="A71" s="553">
        <v>61</v>
      </c>
      <c r="B71" s="554" t="s">
        <v>863</v>
      </c>
      <c r="C71" s="113">
        <f t="shared" si="1"/>
        <v>3447.8630400000002</v>
      </c>
      <c r="D71" s="113"/>
      <c r="E71" s="569">
        <f>VLOOKUP(B71,'[3]BS mục tiêu xã (PL 10)'!$B$11:$C$109,2,FALSE)</f>
        <v>3447.8630400000002</v>
      </c>
      <c r="F71" s="571"/>
    </row>
    <row r="72" spans="1:6" ht="18.75">
      <c r="A72" s="553">
        <v>62</v>
      </c>
      <c r="B72" s="554" t="s">
        <v>864</v>
      </c>
      <c r="C72" s="113">
        <f t="shared" si="1"/>
        <v>4798.9839680000005</v>
      </c>
      <c r="D72" s="113">
        <f>'Bieu so 52'!C15</f>
        <v>527</v>
      </c>
      <c r="E72" s="569">
        <f>VLOOKUP(B72,'[3]BS mục tiêu xã (PL 10)'!$B$11:$C$109,2,FALSE)</f>
        <v>4271.9839680000005</v>
      </c>
      <c r="F72" s="571"/>
    </row>
    <row r="73" spans="1:6" ht="18.75">
      <c r="A73" s="553">
        <v>63</v>
      </c>
      <c r="B73" s="554" t="s">
        <v>865</v>
      </c>
      <c r="C73" s="113">
        <f t="shared" si="1"/>
        <v>6220.0966399999998</v>
      </c>
      <c r="D73" s="113"/>
      <c r="E73" s="569">
        <f>VLOOKUP(B73,'[3]BS mục tiêu xã (PL 10)'!$B$11:$C$109,2,FALSE)</f>
        <v>6220.0966399999998</v>
      </c>
      <c r="F73" s="571"/>
    </row>
    <row r="74" spans="1:6" ht="18.75">
      <c r="A74" s="553">
        <v>64</v>
      </c>
      <c r="B74" s="554" t="s">
        <v>866</v>
      </c>
      <c r="C74" s="113">
        <f t="shared" si="1"/>
        <v>5370.6487999999999</v>
      </c>
      <c r="D74" s="113"/>
      <c r="E74" s="569">
        <f>VLOOKUP(B74,'[3]BS mục tiêu xã (PL 10)'!$B$11:$C$109,2,FALSE)</f>
        <v>5370.6487999999999</v>
      </c>
      <c r="F74" s="571"/>
    </row>
    <row r="75" spans="1:6" ht="18.75">
      <c r="A75" s="553">
        <v>65</v>
      </c>
      <c r="B75" s="554" t="s">
        <v>867</v>
      </c>
      <c r="C75" s="113">
        <f t="shared" si="1"/>
        <v>11496.67488</v>
      </c>
      <c r="D75" s="113"/>
      <c r="E75" s="569">
        <f>VLOOKUP(B75,'[3]BS mục tiêu xã (PL 10)'!$B$11:$C$109,2,FALSE)</f>
        <v>11496.67488</v>
      </c>
      <c r="F75" s="571"/>
    </row>
    <row r="76" spans="1:6" ht="18.75">
      <c r="A76" s="553">
        <v>66</v>
      </c>
      <c r="B76" s="554" t="s">
        <v>868</v>
      </c>
      <c r="C76" s="113">
        <f t="shared" ref="C76:C109" si="2">D76+E76+F76</f>
        <v>6103.7566080000006</v>
      </c>
      <c r="D76" s="113"/>
      <c r="E76" s="569">
        <f>VLOOKUP(B76,'[3]BS mục tiêu xã (PL 10)'!$B$11:$C$109,2,FALSE)</f>
        <v>6103.7566080000006</v>
      </c>
      <c r="F76" s="571"/>
    </row>
    <row r="77" spans="1:6" ht="18.75">
      <c r="A77" s="553">
        <v>67</v>
      </c>
      <c r="B77" s="554" t="s">
        <v>869</v>
      </c>
      <c r="C77" s="113">
        <f t="shared" si="2"/>
        <v>6326.6204799999996</v>
      </c>
      <c r="D77" s="113"/>
      <c r="E77" s="569">
        <f>VLOOKUP(B77,'[3]BS mục tiêu xã (PL 10)'!$B$11:$C$109,2,FALSE)</f>
        <v>6326.6204799999996</v>
      </c>
      <c r="F77" s="571"/>
    </row>
    <row r="78" spans="1:6" ht="18.75">
      <c r="A78" s="553">
        <v>68</v>
      </c>
      <c r="B78" s="554" t="s">
        <v>870</v>
      </c>
      <c r="C78" s="113">
        <f t="shared" si="2"/>
        <v>2490.3517120000001</v>
      </c>
      <c r="D78" s="113"/>
      <c r="E78" s="569">
        <f>VLOOKUP(B78,'[3]BS mục tiêu xã (PL 10)'!$B$11:$C$109,2,FALSE)</f>
        <v>2490.3517120000001</v>
      </c>
      <c r="F78" s="571"/>
    </row>
    <row r="79" spans="1:6" ht="18.75">
      <c r="A79" s="553">
        <v>69</v>
      </c>
      <c r="B79" s="554" t="s">
        <v>871</v>
      </c>
      <c r="C79" s="113">
        <f t="shared" si="2"/>
        <v>6098.7291840000007</v>
      </c>
      <c r="D79" s="113"/>
      <c r="E79" s="569">
        <f>VLOOKUP(B79,'[3]BS mục tiêu xã (PL 10)'!$B$11:$C$109,2,FALSE)</f>
        <v>6098.7291840000007</v>
      </c>
      <c r="F79" s="571"/>
    </row>
    <row r="80" spans="1:6" ht="18.75">
      <c r="A80" s="553">
        <v>70</v>
      </c>
      <c r="B80" s="554" t="s">
        <v>872</v>
      </c>
      <c r="C80" s="113">
        <f t="shared" si="2"/>
        <v>5867.99568</v>
      </c>
      <c r="D80" s="113"/>
      <c r="E80" s="569">
        <f>VLOOKUP(B80,'[3]BS mục tiêu xã (PL 10)'!$B$11:$C$109,2,FALSE)</f>
        <v>5867.99568</v>
      </c>
      <c r="F80" s="571"/>
    </row>
    <row r="81" spans="1:6" ht="18.75">
      <c r="A81" s="553">
        <v>71</v>
      </c>
      <c r="B81" s="554" t="s">
        <v>873</v>
      </c>
      <c r="C81" s="113">
        <f t="shared" si="2"/>
        <v>4214.5152960000005</v>
      </c>
      <c r="D81" s="113"/>
      <c r="E81" s="569">
        <f>VLOOKUP(B81,'[3]BS mục tiêu xã (PL 10)'!$B$11:$C$109,2,FALSE)</f>
        <v>4214.5152960000005</v>
      </c>
      <c r="F81" s="571"/>
    </row>
    <row r="82" spans="1:6" ht="18.75">
      <c r="A82" s="553">
        <v>72</v>
      </c>
      <c r="B82" s="554" t="s">
        <v>874</v>
      </c>
      <c r="C82" s="113">
        <f t="shared" si="2"/>
        <v>12343.392608</v>
      </c>
      <c r="D82" s="113"/>
      <c r="E82" s="569">
        <f>VLOOKUP(B82,'[3]BS mục tiêu xã (PL 10)'!$B$11:$C$109,2,FALSE)</f>
        <v>12343.392608</v>
      </c>
      <c r="F82" s="571"/>
    </row>
    <row r="83" spans="1:6" ht="18.75">
      <c r="A83" s="553">
        <v>73</v>
      </c>
      <c r="B83" s="554" t="s">
        <v>875</v>
      </c>
      <c r="C83" s="113">
        <f t="shared" si="2"/>
        <v>9512.7062079999996</v>
      </c>
      <c r="D83" s="113"/>
      <c r="E83" s="569">
        <f>VLOOKUP(B83,'[3]BS mục tiêu xã (PL 10)'!$B$11:$C$109,2,FALSE)</f>
        <v>9512.7062079999996</v>
      </c>
      <c r="F83" s="571"/>
    </row>
    <row r="84" spans="1:6" ht="18.75">
      <c r="A84" s="553">
        <v>74</v>
      </c>
      <c r="B84" s="554" t="s">
        <v>876</v>
      </c>
      <c r="C84" s="113">
        <f t="shared" si="2"/>
        <v>2937.8943680000002</v>
      </c>
      <c r="D84" s="113"/>
      <c r="E84" s="569">
        <f>VLOOKUP(B84,'[3]BS mục tiêu xã (PL 10)'!$B$11:$C$109,2,FALSE)</f>
        <v>2937.8943680000002</v>
      </c>
      <c r="F84" s="571"/>
    </row>
    <row r="85" spans="1:6" ht="18.75">
      <c r="A85" s="553">
        <v>75</v>
      </c>
      <c r="B85" s="554" t="s">
        <v>877</v>
      </c>
      <c r="C85" s="113">
        <f t="shared" si="2"/>
        <v>2881.9866239999997</v>
      </c>
      <c r="D85" s="113"/>
      <c r="E85" s="569">
        <f>VLOOKUP(B85,'[3]BS mục tiêu xã (PL 10)'!$B$11:$C$109,2,FALSE)</f>
        <v>2881.9866239999997</v>
      </c>
      <c r="F85" s="571"/>
    </row>
    <row r="86" spans="1:6" ht="18.75">
      <c r="A86" s="553">
        <v>76</v>
      </c>
      <c r="B86" s="554" t="s">
        <v>878</v>
      </c>
      <c r="C86" s="113">
        <f t="shared" si="2"/>
        <v>7485.747488</v>
      </c>
      <c r="D86" s="113">
        <f>'Bieu so 52'!C13</f>
        <v>465</v>
      </c>
      <c r="E86" s="569">
        <f>VLOOKUP(B86,'[3]BS mục tiêu xã (PL 10)'!$B$11:$C$109,2,FALSE)</f>
        <v>7020.747488</v>
      </c>
      <c r="F86" s="571"/>
    </row>
    <row r="87" spans="1:6" ht="18.75">
      <c r="A87" s="553">
        <v>77</v>
      </c>
      <c r="B87" s="554" t="s">
        <v>879</v>
      </c>
      <c r="C87" s="113">
        <f t="shared" si="2"/>
        <v>7829.255376000001</v>
      </c>
      <c r="D87" s="113"/>
      <c r="E87" s="569">
        <f>VLOOKUP(B87,'[3]BS mục tiêu xã (PL 10)'!$B$11:$C$109,2,FALSE)</f>
        <v>7829.255376000001</v>
      </c>
      <c r="F87" s="571"/>
    </row>
    <row r="88" spans="1:6" ht="18.75">
      <c r="A88" s="553">
        <v>78</v>
      </c>
      <c r="B88" s="554" t="s">
        <v>880</v>
      </c>
      <c r="C88" s="113">
        <f t="shared" si="2"/>
        <v>15360.888896</v>
      </c>
      <c r="D88" s="113"/>
      <c r="E88" s="569">
        <f>VLOOKUP(B88,'[3]BS mục tiêu xã (PL 10)'!$B$11:$C$109,2,FALSE)</f>
        <v>15360.888896</v>
      </c>
      <c r="F88" s="571"/>
    </row>
    <row r="89" spans="1:6" ht="18.75">
      <c r="A89" s="553">
        <v>79</v>
      </c>
      <c r="B89" s="554" t="s">
        <v>881</v>
      </c>
      <c r="C89" s="113">
        <f t="shared" si="2"/>
        <v>12222.257855999998</v>
      </c>
      <c r="D89" s="113"/>
      <c r="E89" s="569">
        <f>VLOOKUP(B89,'[3]BS mục tiêu xã (PL 10)'!$B$11:$C$109,2,FALSE)</f>
        <v>12222.257855999998</v>
      </c>
      <c r="F89" s="571"/>
    </row>
    <row r="90" spans="1:6" ht="18.75">
      <c r="A90" s="553">
        <v>80</v>
      </c>
      <c r="B90" s="554" t="s">
        <v>882</v>
      </c>
      <c r="C90" s="113">
        <f t="shared" si="2"/>
        <v>7933.2238079999997</v>
      </c>
      <c r="D90" s="113"/>
      <c r="E90" s="569">
        <f>VLOOKUP(B90,'[3]BS mục tiêu xã (PL 10)'!$B$11:$C$109,2,FALSE)</f>
        <v>7933.2238079999997</v>
      </c>
      <c r="F90" s="571"/>
    </row>
    <row r="91" spans="1:6" ht="18.75">
      <c r="A91" s="553">
        <v>81</v>
      </c>
      <c r="B91" s="554" t="s">
        <v>883</v>
      </c>
      <c r="C91" s="113">
        <f t="shared" si="2"/>
        <v>8908.3355200000005</v>
      </c>
      <c r="D91" s="113"/>
      <c r="E91" s="569">
        <f>VLOOKUP(B91,'[3]BS mục tiêu xã (PL 10)'!$B$11:$C$109,2,FALSE)</f>
        <v>8908.3355200000005</v>
      </c>
      <c r="F91" s="571"/>
    </row>
    <row r="92" spans="1:6" ht="18.75">
      <c r="A92" s="553">
        <v>82</v>
      </c>
      <c r="B92" s="554" t="s">
        <v>884</v>
      </c>
      <c r="C92" s="113">
        <f t="shared" si="2"/>
        <v>6707.2584639999995</v>
      </c>
      <c r="D92" s="113"/>
      <c r="E92" s="569">
        <f>VLOOKUP(B92,'[3]BS mục tiêu xã (PL 10)'!$B$11:$C$109,2,FALSE)</f>
        <v>6707.2584639999995</v>
      </c>
      <c r="F92" s="571"/>
    </row>
    <row r="93" spans="1:6" ht="18.75">
      <c r="A93" s="553">
        <v>83</v>
      </c>
      <c r="B93" s="554" t="s">
        <v>885</v>
      </c>
      <c r="C93" s="113">
        <f t="shared" si="2"/>
        <v>5899.1961920000003</v>
      </c>
      <c r="D93" s="113"/>
      <c r="E93" s="569">
        <f>VLOOKUP(B93,'[3]BS mục tiêu xã (PL 10)'!$B$11:$C$109,2,FALSE)</f>
        <v>5899.1961920000003</v>
      </c>
      <c r="F93" s="571"/>
    </row>
    <row r="94" spans="1:6" ht="18.75">
      <c r="A94" s="553">
        <v>84</v>
      </c>
      <c r="B94" s="554" t="s">
        <v>886</v>
      </c>
      <c r="C94" s="113">
        <f t="shared" si="2"/>
        <v>7959.8549119999998</v>
      </c>
      <c r="D94" s="113"/>
      <c r="E94" s="569">
        <f>VLOOKUP(B94,'[3]BS mục tiêu xã (PL 10)'!$B$11:$C$109,2,FALSE)</f>
        <v>7959.8549119999998</v>
      </c>
      <c r="F94" s="571"/>
    </row>
    <row r="95" spans="1:6" ht="18.75">
      <c r="A95" s="553">
        <v>85</v>
      </c>
      <c r="B95" s="554" t="s">
        <v>887</v>
      </c>
      <c r="C95" s="113">
        <f t="shared" si="2"/>
        <v>7631.8768319999999</v>
      </c>
      <c r="D95" s="113"/>
      <c r="E95" s="569">
        <f>VLOOKUP(B95,'[3]BS mục tiêu xã (PL 10)'!$B$11:$C$109,2,FALSE)</f>
        <v>7631.8768319999999</v>
      </c>
      <c r="F95" s="571"/>
    </row>
    <row r="96" spans="1:6" ht="18.75">
      <c r="A96" s="553">
        <v>86</v>
      </c>
      <c r="B96" s="554" t="s">
        <v>888</v>
      </c>
      <c r="C96" s="113">
        <f t="shared" si="2"/>
        <v>5315.5319999999992</v>
      </c>
      <c r="D96" s="113"/>
      <c r="E96" s="569">
        <f>VLOOKUP(B96,'[3]BS mục tiêu xã (PL 10)'!$B$11:$C$109,2,FALSE)</f>
        <v>5315.5319999999992</v>
      </c>
      <c r="F96" s="571"/>
    </row>
    <row r="97" spans="1:6" ht="18.75">
      <c r="A97" s="553">
        <v>87</v>
      </c>
      <c r="B97" s="554" t="s">
        <v>889</v>
      </c>
      <c r="C97" s="113">
        <f t="shared" si="2"/>
        <v>5123.9311999999991</v>
      </c>
      <c r="D97" s="113"/>
      <c r="E97" s="569">
        <f>VLOOKUP(B97,'[3]BS mục tiêu xã (PL 10)'!$B$11:$C$109,2,FALSE)</f>
        <v>5123.9311999999991</v>
      </c>
      <c r="F97" s="571"/>
    </row>
    <row r="98" spans="1:6" ht="18.75">
      <c r="A98" s="553">
        <v>88</v>
      </c>
      <c r="B98" s="554" t="s">
        <v>890</v>
      </c>
      <c r="C98" s="113">
        <f t="shared" si="2"/>
        <v>8923.6640000000007</v>
      </c>
      <c r="D98" s="113"/>
      <c r="E98" s="569">
        <f>VLOOKUP(B98,'[3]BS mục tiêu xã (PL 10)'!$B$11:$C$109,2,FALSE)</f>
        <v>8923.6640000000007</v>
      </c>
      <c r="F98" s="571"/>
    </row>
    <row r="99" spans="1:6" ht="18.75">
      <c r="A99" s="553">
        <v>89</v>
      </c>
      <c r="B99" s="554" t="s">
        <v>891</v>
      </c>
      <c r="C99" s="113">
        <f t="shared" si="2"/>
        <v>3714.3366720000004</v>
      </c>
      <c r="D99" s="113"/>
      <c r="E99" s="569">
        <f>VLOOKUP(B99,'[3]BS mục tiêu xã (PL 10)'!$B$11:$C$109,2,FALSE)</f>
        <v>3714.3366720000004</v>
      </c>
      <c r="F99" s="571"/>
    </row>
    <row r="100" spans="1:6" ht="18.75">
      <c r="A100" s="553">
        <v>90</v>
      </c>
      <c r="B100" s="554" t="s">
        <v>892</v>
      </c>
      <c r="C100" s="113">
        <f t="shared" si="2"/>
        <v>10036.8976</v>
      </c>
      <c r="D100" s="113"/>
      <c r="E100" s="569">
        <f>VLOOKUP(B100,'[3]BS mục tiêu xã (PL 10)'!$B$11:$C$109,2,FALSE)</f>
        <v>10036.8976</v>
      </c>
      <c r="F100" s="571"/>
    </row>
    <row r="101" spans="1:6" ht="18.75">
      <c r="A101" s="553">
        <v>91</v>
      </c>
      <c r="B101" s="554" t="s">
        <v>893</v>
      </c>
      <c r="C101" s="113">
        <f t="shared" si="2"/>
        <v>3515.6469120000002</v>
      </c>
      <c r="D101" s="113"/>
      <c r="E101" s="569">
        <f>VLOOKUP(B101,'[3]BS mục tiêu xã (PL 10)'!$B$11:$C$109,2,FALSE)</f>
        <v>3515.6469120000002</v>
      </c>
      <c r="F101" s="571"/>
    </row>
    <row r="102" spans="1:6" ht="18.75">
      <c r="A102" s="553">
        <v>92</v>
      </c>
      <c r="B102" s="554" t="s">
        <v>894</v>
      </c>
      <c r="C102" s="113">
        <f t="shared" si="2"/>
        <v>14277.726640000001</v>
      </c>
      <c r="D102" s="113">
        <f>'Bieu so 52'!C14</f>
        <v>510</v>
      </c>
      <c r="E102" s="569">
        <f>VLOOKUP(B102,'[3]BS mục tiêu xã (PL 10)'!$B$11:$C$109,2,FALSE)</f>
        <v>13767.726640000001</v>
      </c>
      <c r="F102" s="571"/>
    </row>
    <row r="103" spans="1:6" ht="18.75">
      <c r="A103" s="553">
        <v>93</v>
      </c>
      <c r="B103" s="554" t="s">
        <v>895</v>
      </c>
      <c r="C103" s="113">
        <f t="shared" si="2"/>
        <v>11790.285312</v>
      </c>
      <c r="D103" s="113">
        <f>'Bieu so 52'!C12</f>
        <v>9500</v>
      </c>
      <c r="E103" s="569">
        <f>VLOOKUP(B103,'[3]BS mục tiêu xã (PL 10)'!$B$11:$C$109,2,FALSE)</f>
        <v>2290.285312</v>
      </c>
      <c r="F103" s="571"/>
    </row>
    <row r="104" spans="1:6" ht="18.75">
      <c r="A104" s="553">
        <v>94</v>
      </c>
      <c r="B104" s="554" t="s">
        <v>896</v>
      </c>
      <c r="C104" s="113">
        <f t="shared" si="2"/>
        <v>1467.8569919999998</v>
      </c>
      <c r="D104" s="113"/>
      <c r="E104" s="569">
        <f>VLOOKUP(B104,'[3]BS mục tiêu xã (PL 10)'!$B$11:$C$109,2,FALSE)</f>
        <v>1467.8569919999998</v>
      </c>
      <c r="F104" s="571"/>
    </row>
    <row r="105" spans="1:6" ht="18.75">
      <c r="A105" s="553">
        <v>95</v>
      </c>
      <c r="B105" s="554" t="s">
        <v>897</v>
      </c>
      <c r="C105" s="113">
        <f t="shared" si="2"/>
        <v>8470.5398400000013</v>
      </c>
      <c r="D105" s="113"/>
      <c r="E105" s="569">
        <f>VLOOKUP(B105,'[3]BS mục tiêu xã (PL 10)'!$B$11:$C$109,2,FALSE)</f>
        <v>8470.5398400000013</v>
      </c>
      <c r="F105" s="571"/>
    </row>
    <row r="106" spans="1:6" ht="18.75">
      <c r="A106" s="553">
        <v>96</v>
      </c>
      <c r="B106" s="554" t="s">
        <v>898</v>
      </c>
      <c r="C106" s="113">
        <f t="shared" si="2"/>
        <v>4499.4831999999997</v>
      </c>
      <c r="D106" s="113"/>
      <c r="E106" s="569">
        <f>VLOOKUP(B106,'[3]BS mục tiêu xã (PL 10)'!$B$11:$C$109,2,FALSE)</f>
        <v>4499.4831999999997</v>
      </c>
      <c r="F106" s="571"/>
    </row>
    <row r="107" spans="1:6" ht="18.75">
      <c r="A107" s="553">
        <v>97</v>
      </c>
      <c r="B107" s="554" t="s">
        <v>899</v>
      </c>
      <c r="C107" s="113">
        <f t="shared" si="2"/>
        <v>2602.2828479999998</v>
      </c>
      <c r="D107" s="113"/>
      <c r="E107" s="569">
        <f>VLOOKUP(B107,'[3]BS mục tiêu xã (PL 10)'!$B$11:$C$109,2,FALSE)</f>
        <v>2602.2828479999998</v>
      </c>
      <c r="F107" s="571"/>
    </row>
    <row r="108" spans="1:6" ht="18.75">
      <c r="A108" s="553">
        <v>98</v>
      </c>
      <c r="B108" s="554" t="s">
        <v>900</v>
      </c>
      <c r="C108" s="113">
        <f t="shared" si="2"/>
        <v>2289.2842559999999</v>
      </c>
      <c r="D108" s="113"/>
      <c r="E108" s="569">
        <f>VLOOKUP(B108,'[3]BS mục tiêu xã (PL 10)'!$B$11:$C$109,2,FALSE)</f>
        <v>2289.2842559999999</v>
      </c>
      <c r="F108" s="571"/>
    </row>
    <row r="109" spans="1:6" ht="18.75">
      <c r="A109" s="553">
        <v>99</v>
      </c>
      <c r="B109" s="554" t="s">
        <v>901</v>
      </c>
      <c r="C109" s="113">
        <f t="shared" si="2"/>
        <v>2339.8478879999998</v>
      </c>
      <c r="D109" s="113"/>
      <c r="E109" s="569">
        <f>VLOOKUP(B109,'[3]BS mục tiêu xã (PL 10)'!$B$11:$C$109,2,FALSE)</f>
        <v>2339.8478879999998</v>
      </c>
      <c r="F109" s="571"/>
    </row>
  </sheetData>
  <mergeCells count="6">
    <mergeCell ref="D7:F7"/>
    <mergeCell ref="A1:B1"/>
    <mergeCell ref="D1:F1"/>
    <mergeCell ref="A5:F5"/>
    <mergeCell ref="A3:F3"/>
    <mergeCell ref="A4:F4"/>
  </mergeCells>
  <phoneticPr fontId="5" type="noConversion"/>
  <conditionalFormatting sqref="B11:B64">
    <cfRule type="cellIs" dxfId="0" priority="1" operator="equal">
      <formula>"#"</formula>
    </cfRule>
  </conditionalFormatting>
  <printOptions horizontalCentered="1"/>
  <pageMargins left="0.56999999999999995" right="0.35" top="0.85" bottom="0.511811023622047" header="0.23622047244094499" footer="0.23622047244094499"/>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AB40"/>
  <sheetViews>
    <sheetView zoomScale="70" zoomScaleNormal="70" workbookViewId="0">
      <selection activeCell="C10" sqref="C10:Z24"/>
    </sheetView>
  </sheetViews>
  <sheetFormatPr defaultColWidth="12.85546875" defaultRowHeight="15.75"/>
  <cols>
    <col min="1" max="1" width="7" style="422" customWidth="1"/>
    <col min="2" max="2" width="28.85546875" style="422" customWidth="1"/>
    <col min="3" max="3" width="11.140625" style="422" customWidth="1"/>
    <col min="4" max="4" width="10" style="422" customWidth="1"/>
    <col min="5" max="5" width="9.42578125" style="422" customWidth="1"/>
    <col min="6" max="6" width="9.7109375" style="422" customWidth="1"/>
    <col min="7" max="8" width="9.140625" style="422" customWidth="1"/>
    <col min="9" max="9" width="7" style="422" customWidth="1"/>
    <col min="10" max="10" width="9.5703125" style="422" customWidth="1"/>
    <col min="11" max="11" width="9.7109375" style="422" customWidth="1"/>
    <col min="12" max="12" width="7" style="422" customWidth="1"/>
    <col min="13" max="13" width="9" style="422" customWidth="1"/>
    <col min="14" max="14" width="9.140625" style="422" customWidth="1"/>
    <col min="15" max="15" width="9.5703125" style="422" customWidth="1"/>
    <col min="16" max="16" width="7" style="422" customWidth="1"/>
    <col min="17" max="18" width="8" style="422" customWidth="1"/>
    <col min="19" max="19" width="7" style="422" customWidth="1"/>
    <col min="20" max="20" width="9" style="422" customWidth="1"/>
    <col min="21" max="22" width="8.28515625" style="422" customWidth="1"/>
    <col min="23" max="23" width="7" style="422" customWidth="1"/>
    <col min="24" max="25" width="9.42578125" style="422" customWidth="1"/>
    <col min="26" max="26" width="7" style="422" customWidth="1"/>
    <col min="27" max="16384" width="12.85546875" style="422"/>
  </cols>
  <sheetData>
    <row r="1" spans="1:28">
      <c r="A1" s="367" t="s">
        <v>1629</v>
      </c>
      <c r="B1" s="367"/>
      <c r="C1" s="367"/>
      <c r="D1" s="417"/>
      <c r="E1" s="418"/>
      <c r="F1" s="419"/>
      <c r="G1" s="419"/>
      <c r="H1" s="419"/>
      <c r="I1" s="419"/>
      <c r="J1" s="419"/>
      <c r="K1" s="419"/>
      <c r="L1" s="420"/>
      <c r="M1" s="418"/>
      <c r="N1" s="418"/>
      <c r="O1" s="418"/>
      <c r="P1" s="418"/>
      <c r="Q1" s="418"/>
      <c r="R1" s="418"/>
      <c r="S1" s="421"/>
      <c r="T1" s="419"/>
      <c r="U1" s="419"/>
      <c r="V1" s="419"/>
      <c r="W1" s="419"/>
      <c r="X1" s="419"/>
      <c r="Y1" s="419"/>
      <c r="Z1" s="420" t="s">
        <v>476</v>
      </c>
    </row>
    <row r="2" spans="1:28">
      <c r="A2" s="783" t="s">
        <v>1640</v>
      </c>
      <c r="B2" s="783"/>
      <c r="C2" s="783"/>
      <c r="D2" s="783"/>
      <c r="E2" s="783"/>
      <c r="F2" s="783"/>
      <c r="G2" s="783"/>
      <c r="H2" s="783"/>
      <c r="I2" s="783"/>
      <c r="J2" s="783"/>
      <c r="K2" s="783"/>
      <c r="L2" s="783"/>
      <c r="M2" s="783"/>
      <c r="N2" s="783"/>
      <c r="O2" s="783"/>
      <c r="P2" s="783"/>
      <c r="Q2" s="783"/>
      <c r="R2" s="783"/>
      <c r="S2" s="783"/>
      <c r="T2" s="783"/>
      <c r="U2" s="783"/>
      <c r="V2" s="783"/>
      <c r="W2" s="783"/>
      <c r="X2" s="783"/>
      <c r="Y2" s="783"/>
      <c r="Z2" s="783"/>
    </row>
    <row r="3" spans="1:28">
      <c r="A3" s="783" t="s">
        <v>942</v>
      </c>
      <c r="B3" s="783"/>
      <c r="C3" s="783"/>
      <c r="D3" s="783"/>
      <c r="E3" s="783"/>
      <c r="F3" s="783"/>
      <c r="G3" s="783"/>
      <c r="H3" s="783"/>
      <c r="I3" s="783"/>
      <c r="J3" s="783"/>
      <c r="K3" s="783"/>
      <c r="L3" s="783"/>
      <c r="M3" s="783"/>
      <c r="N3" s="783"/>
      <c r="O3" s="783"/>
      <c r="P3" s="783"/>
      <c r="Q3" s="783"/>
      <c r="R3" s="783"/>
      <c r="S3" s="783"/>
      <c r="T3" s="783"/>
      <c r="U3" s="783"/>
      <c r="V3" s="783"/>
      <c r="W3" s="783"/>
      <c r="X3" s="783"/>
      <c r="Y3" s="783"/>
      <c r="Z3" s="783"/>
    </row>
    <row r="4" spans="1:28">
      <c r="A4" s="784" t="s">
        <v>147</v>
      </c>
      <c r="B4" s="784"/>
      <c r="C4" s="784"/>
      <c r="D4" s="784"/>
      <c r="E4" s="784"/>
      <c r="F4" s="784"/>
      <c r="G4" s="784"/>
      <c r="H4" s="784"/>
      <c r="I4" s="784"/>
      <c r="J4" s="784"/>
      <c r="K4" s="784"/>
      <c r="L4" s="784"/>
      <c r="M4" s="784"/>
      <c r="N4" s="784"/>
      <c r="O4" s="784"/>
      <c r="P4" s="784"/>
      <c r="Q4" s="784"/>
      <c r="R4" s="784"/>
      <c r="S4" s="784"/>
      <c r="T4" s="784"/>
      <c r="U4" s="784"/>
      <c r="V4" s="784"/>
      <c r="W4" s="784"/>
      <c r="X4" s="784"/>
      <c r="Y4" s="784"/>
      <c r="Z4" s="784"/>
    </row>
    <row r="5" spans="1:28">
      <c r="A5" s="423"/>
      <c r="B5" s="423"/>
      <c r="C5" s="519"/>
      <c r="D5" s="519"/>
      <c r="F5" s="785"/>
      <c r="G5" s="785"/>
      <c r="H5" s="785"/>
      <c r="I5" s="785"/>
      <c r="J5" s="785"/>
      <c r="K5" s="785"/>
      <c r="L5" s="785"/>
      <c r="S5" s="424"/>
      <c r="T5" s="785" t="s">
        <v>1</v>
      </c>
      <c r="U5" s="785"/>
      <c r="V5" s="785"/>
      <c r="W5" s="785"/>
      <c r="X5" s="785"/>
      <c r="Y5" s="785"/>
      <c r="Z5" s="785"/>
    </row>
    <row r="6" spans="1:28" ht="25.15" customHeight="1">
      <c r="A6" s="786" t="s">
        <v>65</v>
      </c>
      <c r="B6" s="788" t="s">
        <v>3</v>
      </c>
      <c r="C6" s="786" t="s">
        <v>27</v>
      </c>
      <c r="D6" s="790" t="s">
        <v>96</v>
      </c>
      <c r="E6" s="791"/>
      <c r="F6" s="792" t="s">
        <v>472</v>
      </c>
      <c r="G6" s="793"/>
      <c r="H6" s="793"/>
      <c r="I6" s="793"/>
      <c r="J6" s="793"/>
      <c r="K6" s="793"/>
      <c r="L6" s="794"/>
      <c r="M6" s="792" t="s">
        <v>309</v>
      </c>
      <c r="N6" s="793"/>
      <c r="O6" s="793"/>
      <c r="P6" s="793"/>
      <c r="Q6" s="793"/>
      <c r="R6" s="793"/>
      <c r="S6" s="794"/>
      <c r="T6" s="792" t="s">
        <v>310</v>
      </c>
      <c r="U6" s="793"/>
      <c r="V6" s="793"/>
      <c r="W6" s="793"/>
      <c r="X6" s="793"/>
      <c r="Y6" s="793"/>
      <c r="Z6" s="794"/>
    </row>
    <row r="7" spans="1:28">
      <c r="A7" s="787"/>
      <c r="B7" s="789"/>
      <c r="C7" s="787"/>
      <c r="D7" s="795" t="s">
        <v>307</v>
      </c>
      <c r="E7" s="795" t="s">
        <v>308</v>
      </c>
      <c r="F7" s="786" t="s">
        <v>27</v>
      </c>
      <c r="G7" s="797" t="s">
        <v>307</v>
      </c>
      <c r="H7" s="798"/>
      <c r="I7" s="799"/>
      <c r="J7" s="797" t="s">
        <v>308</v>
      </c>
      <c r="K7" s="798"/>
      <c r="L7" s="799"/>
      <c r="M7" s="786" t="s">
        <v>27</v>
      </c>
      <c r="N7" s="797" t="s">
        <v>307</v>
      </c>
      <c r="O7" s="798"/>
      <c r="P7" s="799"/>
      <c r="Q7" s="797" t="s">
        <v>308</v>
      </c>
      <c r="R7" s="798"/>
      <c r="S7" s="799"/>
      <c r="T7" s="786" t="s">
        <v>27</v>
      </c>
      <c r="U7" s="797" t="s">
        <v>307</v>
      </c>
      <c r="V7" s="798"/>
      <c r="W7" s="799"/>
      <c r="X7" s="797" t="s">
        <v>308</v>
      </c>
      <c r="Y7" s="798"/>
      <c r="Z7" s="799"/>
    </row>
    <row r="8" spans="1:28" ht="47.25">
      <c r="A8" s="787"/>
      <c r="B8" s="789"/>
      <c r="C8" s="787"/>
      <c r="D8" s="796"/>
      <c r="E8" s="796"/>
      <c r="F8" s="787"/>
      <c r="G8" s="523" t="s">
        <v>27</v>
      </c>
      <c r="H8" s="522" t="s">
        <v>109</v>
      </c>
      <c r="I8" s="522" t="s">
        <v>110</v>
      </c>
      <c r="J8" s="523" t="s">
        <v>27</v>
      </c>
      <c r="K8" s="522" t="s">
        <v>109</v>
      </c>
      <c r="L8" s="522" t="s">
        <v>110</v>
      </c>
      <c r="M8" s="787"/>
      <c r="N8" s="523" t="s">
        <v>27</v>
      </c>
      <c r="O8" s="522" t="s">
        <v>109</v>
      </c>
      <c r="P8" s="522" t="s">
        <v>110</v>
      </c>
      <c r="Q8" s="523" t="s">
        <v>27</v>
      </c>
      <c r="R8" s="522" t="s">
        <v>109</v>
      </c>
      <c r="S8" s="522" t="s">
        <v>110</v>
      </c>
      <c r="T8" s="787"/>
      <c r="U8" s="523" t="s">
        <v>27</v>
      </c>
      <c r="V8" s="522" t="s">
        <v>109</v>
      </c>
      <c r="W8" s="522" t="s">
        <v>110</v>
      </c>
      <c r="X8" s="523" t="s">
        <v>27</v>
      </c>
      <c r="Y8" s="522" t="s">
        <v>109</v>
      </c>
      <c r="Z8" s="522" t="s">
        <v>110</v>
      </c>
    </row>
    <row r="9" spans="1:28" s="419" customFormat="1" ht="28.9" customHeight="1">
      <c r="A9" s="524"/>
      <c r="B9" s="525" t="s">
        <v>54</v>
      </c>
      <c r="C9" s="526" t="e">
        <f>C10+C12+C15</f>
        <v>#VALUE!</v>
      </c>
      <c r="D9" s="526">
        <f t="shared" ref="D9:Z9" si="0">D10+D12+D15</f>
        <v>0</v>
      </c>
      <c r="E9" s="526">
        <f t="shared" si="0"/>
        <v>0</v>
      </c>
      <c r="F9" s="526">
        <f t="shared" si="0"/>
        <v>0</v>
      </c>
      <c r="G9" s="526">
        <f t="shared" si="0"/>
        <v>0</v>
      </c>
      <c r="H9" s="526">
        <f t="shared" si="0"/>
        <v>0</v>
      </c>
      <c r="I9" s="526">
        <f t="shared" si="0"/>
        <v>0</v>
      </c>
      <c r="J9" s="526">
        <f t="shared" si="0"/>
        <v>0</v>
      </c>
      <c r="K9" s="526">
        <f t="shared" si="0"/>
        <v>0</v>
      </c>
      <c r="L9" s="526">
        <f t="shared" si="0"/>
        <v>0</v>
      </c>
      <c r="M9" s="526">
        <f t="shared" si="0"/>
        <v>0</v>
      </c>
      <c r="N9" s="526">
        <f t="shared" si="0"/>
        <v>0</v>
      </c>
      <c r="O9" s="526">
        <f t="shared" si="0"/>
        <v>0</v>
      </c>
      <c r="P9" s="526">
        <f t="shared" si="0"/>
        <v>0</v>
      </c>
      <c r="Q9" s="526">
        <f t="shared" si="0"/>
        <v>0</v>
      </c>
      <c r="R9" s="526">
        <f t="shared" si="0"/>
        <v>0</v>
      </c>
      <c r="S9" s="526">
        <f t="shared" si="0"/>
        <v>0</v>
      </c>
      <c r="T9" s="526">
        <f t="shared" si="0"/>
        <v>0</v>
      </c>
      <c r="U9" s="526">
        <f t="shared" si="0"/>
        <v>0</v>
      </c>
      <c r="V9" s="526">
        <f t="shared" si="0"/>
        <v>0</v>
      </c>
      <c r="W9" s="526">
        <f t="shared" si="0"/>
        <v>0</v>
      </c>
      <c r="X9" s="526">
        <f t="shared" si="0"/>
        <v>0</v>
      </c>
      <c r="Y9" s="526">
        <f t="shared" si="0"/>
        <v>0</v>
      </c>
      <c r="Z9" s="526">
        <f t="shared" si="0"/>
        <v>0</v>
      </c>
    </row>
    <row r="10" spans="1:28" s="419" customFormat="1" ht="28.9" customHeight="1">
      <c r="A10" s="524"/>
      <c r="B10" s="525"/>
      <c r="C10" s="800" t="s">
        <v>943</v>
      </c>
      <c r="D10" s="801"/>
      <c r="E10" s="801"/>
      <c r="F10" s="801"/>
      <c r="G10" s="801"/>
      <c r="H10" s="801"/>
      <c r="I10" s="801"/>
      <c r="J10" s="801"/>
      <c r="K10" s="801"/>
      <c r="L10" s="801"/>
      <c r="M10" s="801"/>
      <c r="N10" s="801"/>
      <c r="O10" s="801"/>
      <c r="P10" s="801"/>
      <c r="Q10" s="801"/>
      <c r="R10" s="801"/>
      <c r="S10" s="801"/>
      <c r="T10" s="801"/>
      <c r="U10" s="801"/>
      <c r="V10" s="801"/>
      <c r="W10" s="801"/>
      <c r="X10" s="801"/>
      <c r="Y10" s="801"/>
      <c r="Z10" s="802"/>
    </row>
    <row r="11" spans="1:28" ht="28.9" customHeight="1">
      <c r="A11" s="527"/>
      <c r="B11" s="416"/>
      <c r="C11" s="803"/>
      <c r="D11" s="804"/>
      <c r="E11" s="804"/>
      <c r="F11" s="804"/>
      <c r="G11" s="804"/>
      <c r="H11" s="804"/>
      <c r="I11" s="804"/>
      <c r="J11" s="804"/>
      <c r="K11" s="804"/>
      <c r="L11" s="804"/>
      <c r="M11" s="804"/>
      <c r="N11" s="804"/>
      <c r="O11" s="804"/>
      <c r="P11" s="804"/>
      <c r="Q11" s="804"/>
      <c r="R11" s="804"/>
      <c r="S11" s="804"/>
      <c r="T11" s="804"/>
      <c r="U11" s="804"/>
      <c r="V11" s="804"/>
      <c r="W11" s="804"/>
      <c r="X11" s="804"/>
      <c r="Y11" s="804"/>
      <c r="Z11" s="805"/>
    </row>
    <row r="12" spans="1:28" ht="28.9" customHeight="1">
      <c r="A12" s="528"/>
      <c r="B12" s="433"/>
      <c r="C12" s="803"/>
      <c r="D12" s="804"/>
      <c r="E12" s="804"/>
      <c r="F12" s="804"/>
      <c r="G12" s="804"/>
      <c r="H12" s="804"/>
      <c r="I12" s="804"/>
      <c r="J12" s="804"/>
      <c r="K12" s="804"/>
      <c r="L12" s="804"/>
      <c r="M12" s="804"/>
      <c r="N12" s="804"/>
      <c r="O12" s="804"/>
      <c r="P12" s="804"/>
      <c r="Q12" s="804"/>
      <c r="R12" s="804"/>
      <c r="S12" s="804"/>
      <c r="T12" s="804"/>
      <c r="U12" s="804"/>
      <c r="V12" s="804"/>
      <c r="W12" s="804"/>
      <c r="X12" s="804"/>
      <c r="Y12" s="804"/>
      <c r="Z12" s="805"/>
    </row>
    <row r="13" spans="1:28" ht="28.9" customHeight="1">
      <c r="A13" s="432"/>
      <c r="B13" s="433"/>
      <c r="C13" s="803"/>
      <c r="D13" s="804"/>
      <c r="E13" s="804"/>
      <c r="F13" s="804"/>
      <c r="G13" s="804"/>
      <c r="H13" s="804"/>
      <c r="I13" s="804"/>
      <c r="J13" s="804"/>
      <c r="K13" s="804"/>
      <c r="L13" s="804"/>
      <c r="M13" s="804"/>
      <c r="N13" s="804"/>
      <c r="O13" s="804"/>
      <c r="P13" s="804"/>
      <c r="Q13" s="804"/>
      <c r="R13" s="804"/>
      <c r="S13" s="804"/>
      <c r="T13" s="804"/>
      <c r="U13" s="804"/>
      <c r="V13" s="804"/>
      <c r="W13" s="804"/>
      <c r="X13" s="804"/>
      <c r="Y13" s="804"/>
      <c r="Z13" s="805"/>
    </row>
    <row r="14" spans="1:28" ht="28.9" customHeight="1">
      <c r="A14" s="432"/>
      <c r="B14" s="433"/>
      <c r="C14" s="803"/>
      <c r="D14" s="804"/>
      <c r="E14" s="804"/>
      <c r="F14" s="804"/>
      <c r="G14" s="804"/>
      <c r="H14" s="804"/>
      <c r="I14" s="804"/>
      <c r="J14" s="804"/>
      <c r="K14" s="804"/>
      <c r="L14" s="804"/>
      <c r="M14" s="804"/>
      <c r="N14" s="804"/>
      <c r="O14" s="804"/>
      <c r="P14" s="804"/>
      <c r="Q14" s="804"/>
      <c r="R14" s="804"/>
      <c r="S14" s="804"/>
      <c r="T14" s="804"/>
      <c r="U14" s="804"/>
      <c r="V14" s="804"/>
      <c r="W14" s="804"/>
      <c r="X14" s="804"/>
      <c r="Y14" s="804"/>
      <c r="Z14" s="805"/>
      <c r="AA14" s="519"/>
    </row>
    <row r="15" spans="1:28" s="419" customFormat="1" ht="28.9" customHeight="1">
      <c r="A15" s="524"/>
      <c r="B15" s="525"/>
      <c r="C15" s="803"/>
      <c r="D15" s="804"/>
      <c r="E15" s="804"/>
      <c r="F15" s="804"/>
      <c r="G15" s="804"/>
      <c r="H15" s="804"/>
      <c r="I15" s="804"/>
      <c r="J15" s="804"/>
      <c r="K15" s="804"/>
      <c r="L15" s="804"/>
      <c r="M15" s="804"/>
      <c r="N15" s="804"/>
      <c r="O15" s="804"/>
      <c r="P15" s="804"/>
      <c r="Q15" s="804"/>
      <c r="R15" s="804"/>
      <c r="S15" s="804"/>
      <c r="T15" s="804"/>
      <c r="U15" s="804"/>
      <c r="V15" s="804"/>
      <c r="W15" s="804"/>
      <c r="X15" s="804"/>
      <c r="Y15" s="804"/>
      <c r="Z15" s="805"/>
      <c r="AA15" s="520"/>
      <c r="AB15" s="520"/>
    </row>
    <row r="16" spans="1:28" s="425" customFormat="1" ht="28.9" customHeight="1">
      <c r="A16" s="463"/>
      <c r="B16" s="529"/>
      <c r="C16" s="803"/>
      <c r="D16" s="804"/>
      <c r="E16" s="804"/>
      <c r="F16" s="804"/>
      <c r="G16" s="804"/>
      <c r="H16" s="804"/>
      <c r="I16" s="804"/>
      <c r="J16" s="804"/>
      <c r="K16" s="804"/>
      <c r="L16" s="804"/>
      <c r="M16" s="804"/>
      <c r="N16" s="804"/>
      <c r="O16" s="804"/>
      <c r="P16" s="804"/>
      <c r="Q16" s="804"/>
      <c r="R16" s="804"/>
      <c r="S16" s="804"/>
      <c r="T16" s="804"/>
      <c r="U16" s="804"/>
      <c r="V16" s="804"/>
      <c r="W16" s="804"/>
      <c r="X16" s="804"/>
      <c r="Y16" s="804"/>
      <c r="Z16" s="805"/>
      <c r="AA16" s="521"/>
    </row>
    <row r="17" spans="1:26" s="426" customFormat="1" ht="28.9" customHeight="1">
      <c r="A17" s="224"/>
      <c r="B17" s="311"/>
      <c r="C17" s="803"/>
      <c r="D17" s="804"/>
      <c r="E17" s="804"/>
      <c r="F17" s="804"/>
      <c r="G17" s="804"/>
      <c r="H17" s="804"/>
      <c r="I17" s="804"/>
      <c r="J17" s="804"/>
      <c r="K17" s="804"/>
      <c r="L17" s="804"/>
      <c r="M17" s="804"/>
      <c r="N17" s="804"/>
      <c r="O17" s="804"/>
      <c r="P17" s="804"/>
      <c r="Q17" s="804"/>
      <c r="R17" s="804"/>
      <c r="S17" s="804"/>
      <c r="T17" s="804"/>
      <c r="U17" s="804"/>
      <c r="V17" s="804"/>
      <c r="W17" s="804"/>
      <c r="X17" s="804"/>
      <c r="Y17" s="804"/>
      <c r="Z17" s="805"/>
    </row>
    <row r="18" spans="1:26" s="425" customFormat="1" ht="28.9" customHeight="1">
      <c r="A18" s="463"/>
      <c r="B18" s="529"/>
      <c r="C18" s="803"/>
      <c r="D18" s="804"/>
      <c r="E18" s="804"/>
      <c r="F18" s="804"/>
      <c r="G18" s="804"/>
      <c r="H18" s="804"/>
      <c r="I18" s="804"/>
      <c r="J18" s="804"/>
      <c r="K18" s="804"/>
      <c r="L18" s="804"/>
      <c r="M18" s="804"/>
      <c r="N18" s="804"/>
      <c r="O18" s="804"/>
      <c r="P18" s="804"/>
      <c r="Q18" s="804"/>
      <c r="R18" s="804"/>
      <c r="S18" s="804"/>
      <c r="T18" s="804"/>
      <c r="U18" s="804"/>
      <c r="V18" s="804"/>
      <c r="W18" s="804"/>
      <c r="X18" s="804"/>
      <c r="Y18" s="804"/>
      <c r="Z18" s="805"/>
    </row>
    <row r="19" spans="1:26" s="425" customFormat="1" ht="28.9" customHeight="1">
      <c r="A19" s="463"/>
      <c r="B19" s="529"/>
      <c r="C19" s="803"/>
      <c r="D19" s="804"/>
      <c r="E19" s="804"/>
      <c r="F19" s="804"/>
      <c r="G19" s="804"/>
      <c r="H19" s="804"/>
      <c r="I19" s="804"/>
      <c r="J19" s="804"/>
      <c r="K19" s="804"/>
      <c r="L19" s="804"/>
      <c r="M19" s="804"/>
      <c r="N19" s="804"/>
      <c r="O19" s="804"/>
      <c r="P19" s="804"/>
      <c r="Q19" s="804"/>
      <c r="R19" s="804"/>
      <c r="S19" s="804"/>
      <c r="T19" s="804"/>
      <c r="U19" s="804"/>
      <c r="V19" s="804"/>
      <c r="W19" s="804"/>
      <c r="X19" s="804"/>
      <c r="Y19" s="804"/>
      <c r="Z19" s="805"/>
    </row>
    <row r="20" spans="1:26" s="425" customFormat="1" ht="28.9" customHeight="1">
      <c r="A20" s="463"/>
      <c r="B20" s="529"/>
      <c r="C20" s="803"/>
      <c r="D20" s="804"/>
      <c r="E20" s="804"/>
      <c r="F20" s="804"/>
      <c r="G20" s="804"/>
      <c r="H20" s="804"/>
      <c r="I20" s="804"/>
      <c r="J20" s="804"/>
      <c r="K20" s="804"/>
      <c r="L20" s="804"/>
      <c r="M20" s="804"/>
      <c r="N20" s="804"/>
      <c r="O20" s="804"/>
      <c r="P20" s="804"/>
      <c r="Q20" s="804"/>
      <c r="R20" s="804"/>
      <c r="S20" s="804"/>
      <c r="T20" s="804"/>
      <c r="U20" s="804"/>
      <c r="V20" s="804"/>
      <c r="W20" s="804"/>
      <c r="X20" s="804"/>
      <c r="Y20" s="804"/>
      <c r="Z20" s="805"/>
    </row>
    <row r="21" spans="1:26" s="425" customFormat="1" ht="28.9" customHeight="1">
      <c r="A21" s="463"/>
      <c r="B21" s="529"/>
      <c r="C21" s="803"/>
      <c r="D21" s="804"/>
      <c r="E21" s="804"/>
      <c r="F21" s="804"/>
      <c r="G21" s="804"/>
      <c r="H21" s="804"/>
      <c r="I21" s="804"/>
      <c r="J21" s="804"/>
      <c r="K21" s="804"/>
      <c r="L21" s="804"/>
      <c r="M21" s="804"/>
      <c r="N21" s="804"/>
      <c r="O21" s="804"/>
      <c r="P21" s="804"/>
      <c r="Q21" s="804"/>
      <c r="R21" s="804"/>
      <c r="S21" s="804"/>
      <c r="T21" s="804"/>
      <c r="U21" s="804"/>
      <c r="V21" s="804"/>
      <c r="W21" s="804"/>
      <c r="X21" s="804"/>
      <c r="Y21" s="804"/>
      <c r="Z21" s="805"/>
    </row>
    <row r="22" spans="1:26" s="425" customFormat="1" ht="28.9" customHeight="1">
      <c r="A22" s="463"/>
      <c r="B22" s="529"/>
      <c r="C22" s="803"/>
      <c r="D22" s="804"/>
      <c r="E22" s="804"/>
      <c r="F22" s="804"/>
      <c r="G22" s="804"/>
      <c r="H22" s="804"/>
      <c r="I22" s="804"/>
      <c r="J22" s="804"/>
      <c r="K22" s="804"/>
      <c r="L22" s="804"/>
      <c r="M22" s="804"/>
      <c r="N22" s="804"/>
      <c r="O22" s="804"/>
      <c r="P22" s="804"/>
      <c r="Q22" s="804"/>
      <c r="R22" s="804"/>
      <c r="S22" s="804"/>
      <c r="T22" s="804"/>
      <c r="U22" s="804"/>
      <c r="V22" s="804"/>
      <c r="W22" s="804"/>
      <c r="X22" s="804"/>
      <c r="Y22" s="804"/>
      <c r="Z22" s="805"/>
    </row>
    <row r="23" spans="1:26" s="425" customFormat="1" ht="28.9" customHeight="1">
      <c r="A23" s="463"/>
      <c r="B23" s="529"/>
      <c r="C23" s="803"/>
      <c r="D23" s="804"/>
      <c r="E23" s="804"/>
      <c r="F23" s="804"/>
      <c r="G23" s="804"/>
      <c r="H23" s="804"/>
      <c r="I23" s="804"/>
      <c r="J23" s="804"/>
      <c r="K23" s="804"/>
      <c r="L23" s="804"/>
      <c r="M23" s="804"/>
      <c r="N23" s="804"/>
      <c r="O23" s="804"/>
      <c r="P23" s="804"/>
      <c r="Q23" s="804"/>
      <c r="R23" s="804"/>
      <c r="S23" s="804"/>
      <c r="T23" s="804"/>
      <c r="U23" s="804"/>
      <c r="V23" s="804"/>
      <c r="W23" s="804"/>
      <c r="X23" s="804"/>
      <c r="Y23" s="804"/>
      <c r="Z23" s="805"/>
    </row>
    <row r="24" spans="1:26" s="425" customFormat="1" ht="28.9" customHeight="1">
      <c r="A24" s="463"/>
      <c r="B24" s="529"/>
      <c r="C24" s="806"/>
      <c r="D24" s="807"/>
      <c r="E24" s="807"/>
      <c r="F24" s="807"/>
      <c r="G24" s="807"/>
      <c r="H24" s="807"/>
      <c r="I24" s="807"/>
      <c r="J24" s="807"/>
      <c r="K24" s="807"/>
      <c r="L24" s="807"/>
      <c r="M24" s="807"/>
      <c r="N24" s="807"/>
      <c r="O24" s="807"/>
      <c r="P24" s="807"/>
      <c r="Q24" s="807"/>
      <c r="R24" s="807"/>
      <c r="S24" s="807"/>
      <c r="T24" s="807"/>
      <c r="U24" s="807"/>
      <c r="V24" s="807"/>
      <c r="W24" s="807"/>
      <c r="X24" s="807"/>
      <c r="Y24" s="807"/>
      <c r="Z24" s="808"/>
    </row>
    <row r="25" spans="1:26" s="425" customFormat="1" ht="18.75">
      <c r="A25" s="401"/>
      <c r="B25" s="427"/>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row>
    <row r="26" spans="1:26" ht="18.75">
      <c r="A26" s="429"/>
      <c r="B26" s="430"/>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row>
    <row r="27" spans="1:26" ht="18.75">
      <c r="A27" s="431"/>
      <c r="B27" s="431"/>
      <c r="C27" s="425"/>
      <c r="D27" s="425"/>
      <c r="E27" s="425"/>
      <c r="F27" s="425"/>
      <c r="G27" s="425"/>
      <c r="H27" s="425"/>
      <c r="I27" s="425"/>
      <c r="J27" s="425"/>
      <c r="K27" s="425"/>
      <c r="L27" s="425"/>
      <c r="M27" s="425"/>
      <c r="N27" s="425"/>
      <c r="O27" s="425"/>
      <c r="P27" s="425"/>
      <c r="Q27" s="425"/>
      <c r="R27" s="425"/>
      <c r="S27" s="425"/>
      <c r="T27" s="425"/>
      <c r="U27" s="425"/>
      <c r="V27" s="425"/>
      <c r="W27" s="425"/>
      <c r="X27" s="425"/>
      <c r="Y27" s="425"/>
      <c r="Z27" s="425"/>
    </row>
    <row r="28" spans="1:26" ht="18.75">
      <c r="A28" s="425"/>
      <c r="B28" s="425"/>
      <c r="C28" s="425"/>
      <c r="D28" s="425"/>
      <c r="E28" s="425"/>
      <c r="F28" s="425"/>
      <c r="G28" s="425"/>
      <c r="H28" s="425"/>
      <c r="I28" s="425"/>
      <c r="J28" s="425"/>
      <c r="K28" s="425"/>
      <c r="L28" s="425"/>
      <c r="M28" s="425"/>
      <c r="N28" s="425"/>
      <c r="O28" s="425"/>
      <c r="P28" s="425"/>
      <c r="Q28" s="425"/>
      <c r="R28" s="425"/>
      <c r="S28" s="425"/>
      <c r="T28" s="425"/>
      <c r="U28" s="425"/>
      <c r="V28" s="425"/>
      <c r="W28" s="425"/>
      <c r="X28" s="425"/>
      <c r="Y28" s="425"/>
      <c r="Z28" s="425"/>
    </row>
    <row r="29" spans="1:26" ht="18.75">
      <c r="A29" s="425"/>
      <c r="B29" s="425"/>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row>
    <row r="30" spans="1:26" ht="18.75">
      <c r="A30" s="425"/>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row>
    <row r="31" spans="1:26" ht="18.75">
      <c r="A31" s="425"/>
      <c r="B31" s="425"/>
      <c r="C31" s="425"/>
      <c r="D31" s="425"/>
      <c r="E31" s="425"/>
      <c r="F31" s="425"/>
      <c r="G31" s="425"/>
      <c r="H31" s="425"/>
      <c r="I31" s="425"/>
      <c r="J31" s="425"/>
      <c r="K31" s="425"/>
      <c r="L31" s="425"/>
      <c r="M31" s="425"/>
      <c r="N31" s="425"/>
      <c r="O31" s="425"/>
      <c r="P31" s="425"/>
      <c r="Q31" s="425"/>
      <c r="R31" s="425"/>
      <c r="S31" s="425"/>
      <c r="T31" s="425"/>
      <c r="U31" s="425"/>
      <c r="V31" s="425"/>
      <c r="W31" s="425"/>
      <c r="X31" s="425"/>
      <c r="Y31" s="425"/>
      <c r="Z31" s="425"/>
    </row>
    <row r="32" spans="1:26" ht="18.75">
      <c r="A32" s="425"/>
      <c r="B32" s="425"/>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row>
    <row r="33" spans="1:26" ht="18.75">
      <c r="A33" s="425"/>
      <c r="B33" s="425"/>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row>
    <row r="34" spans="1:26" ht="18.75">
      <c r="A34" s="425"/>
      <c r="B34" s="425"/>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row>
    <row r="35" spans="1:26" ht="18.75">
      <c r="A35" s="425"/>
      <c r="B35" s="425"/>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row>
    <row r="36" spans="1:26" ht="18.75">
      <c r="A36" s="425"/>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row>
    <row r="37" spans="1:26" ht="18.75">
      <c r="A37" s="425"/>
      <c r="B37" s="425"/>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row>
    <row r="38" spans="1:26" ht="18.75">
      <c r="A38" s="425"/>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row>
    <row r="39" spans="1:26" ht="18.75">
      <c r="A39" s="425"/>
      <c r="B39" s="425"/>
      <c r="C39" s="425"/>
      <c r="D39" s="425"/>
      <c r="E39" s="425"/>
      <c r="F39" s="425"/>
      <c r="G39" s="425"/>
      <c r="H39" s="425"/>
      <c r="I39" s="425"/>
      <c r="J39" s="425"/>
      <c r="K39" s="425"/>
      <c r="L39" s="425"/>
      <c r="M39" s="425"/>
      <c r="N39" s="425"/>
      <c r="O39" s="425"/>
      <c r="P39" s="425"/>
      <c r="Q39" s="425"/>
      <c r="R39" s="425"/>
      <c r="S39" s="425"/>
      <c r="T39" s="425"/>
      <c r="U39" s="425"/>
      <c r="V39" s="425"/>
      <c r="W39" s="425"/>
      <c r="X39" s="425"/>
      <c r="Y39" s="425"/>
      <c r="Z39" s="425"/>
    </row>
    <row r="40" spans="1:26" ht="18.75">
      <c r="A40" s="425"/>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c r="Z40" s="425"/>
    </row>
  </sheetData>
  <mergeCells count="24">
    <mergeCell ref="C10:Z24"/>
    <mergeCell ref="U7:W7"/>
    <mergeCell ref="X7:Z7"/>
    <mergeCell ref="F7:F8"/>
    <mergeCell ref="G7:I7"/>
    <mergeCell ref="J7:L7"/>
    <mergeCell ref="Q7:S7"/>
    <mergeCell ref="T7:T8"/>
    <mergeCell ref="A2:Z2"/>
    <mergeCell ref="A4:Z4"/>
    <mergeCell ref="T5:Z5"/>
    <mergeCell ref="A6:A8"/>
    <mergeCell ref="B6:B8"/>
    <mergeCell ref="C6:C8"/>
    <mergeCell ref="D6:E6"/>
    <mergeCell ref="M6:S6"/>
    <mergeCell ref="T6:Z6"/>
    <mergeCell ref="D7:D8"/>
    <mergeCell ref="E7:E8"/>
    <mergeCell ref="M7:M8"/>
    <mergeCell ref="N7:P7"/>
    <mergeCell ref="A3:Z3"/>
    <mergeCell ref="F5:L5"/>
    <mergeCell ref="F6:L6"/>
  </mergeCells>
  <phoneticPr fontId="5" type="noConversion"/>
  <pageMargins left="0.74803149606299213" right="0.41" top="0.86614173228346458" bottom="0.23622047244094491" header="0.51181102362204722" footer="0.23622047244094491"/>
  <pageSetup paperSize="9" scale="5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Y128"/>
  <sheetViews>
    <sheetView zoomScale="55" zoomScaleNormal="55" workbookViewId="0">
      <pane xSplit="2" ySplit="11" topLeftCell="C12" activePane="bottomRight" state="frozen"/>
      <selection pane="topRight" activeCell="C1" sqref="C1"/>
      <selection pane="bottomLeft" activeCell="A12" sqref="A12"/>
      <selection pane="bottomRight" activeCell="R26" sqref="R26"/>
    </sheetView>
  </sheetViews>
  <sheetFormatPr defaultColWidth="9" defaultRowHeight="18.75"/>
  <cols>
    <col min="1" max="1" width="6.140625" style="123" customWidth="1"/>
    <col min="2" max="2" width="50" style="124" customWidth="1"/>
    <col min="3" max="3" width="14.140625" style="115" customWidth="1"/>
    <col min="4" max="4" width="11.7109375" style="115" customWidth="1"/>
    <col min="5" max="5" width="10" style="115" customWidth="1"/>
    <col min="6" max="6" width="23" style="115" customWidth="1"/>
    <col min="7" max="7" width="14.5703125" style="116" customWidth="1"/>
    <col min="8" max="8" width="12.28515625" style="116" customWidth="1"/>
    <col min="9" max="10" width="12.7109375" style="116" customWidth="1"/>
    <col min="11" max="11" width="10.5703125" style="116" customWidth="1"/>
    <col min="12" max="12" width="14" style="116" customWidth="1"/>
    <col min="13" max="13" width="12.28515625" style="116" customWidth="1"/>
    <col min="14" max="14" width="12.140625" style="116" customWidth="1"/>
    <col min="15" max="15" width="14" style="116" customWidth="1"/>
    <col min="16" max="16" width="13.5703125" style="116" customWidth="1"/>
    <col min="17" max="17" width="12.28515625" style="116" customWidth="1"/>
    <col min="18" max="18" width="14.28515625" style="116" customWidth="1"/>
    <col min="19" max="19" width="13.140625" style="116" customWidth="1"/>
    <col min="20" max="20" width="12.42578125" style="116" customWidth="1"/>
    <col min="21" max="21" width="10.7109375" style="116" customWidth="1"/>
    <col min="22" max="22" width="12.85546875" style="116" customWidth="1"/>
    <col min="23" max="23" width="10.7109375" style="116" customWidth="1"/>
    <col min="24" max="24" width="9.85546875" style="116" customWidth="1"/>
    <col min="25" max="25" width="11.42578125" style="116" customWidth="1"/>
    <col min="26" max="26" width="9.42578125" style="116" bestFit="1" customWidth="1"/>
    <col min="27" max="51" width="9" style="118"/>
    <col min="52" max="52" width="11.5703125" style="118" customWidth="1"/>
    <col min="53" max="55" width="0" style="118" hidden="1" customWidth="1"/>
    <col min="56" max="56" width="69.5703125" style="118" customWidth="1"/>
    <col min="57" max="57" width="17" style="118" customWidth="1"/>
    <col min="58" max="65" width="0" style="118" hidden="1" customWidth="1"/>
    <col min="66" max="66" width="32.28515625" style="118" customWidth="1"/>
    <col min="67" max="67" width="31.85546875" style="118" customWidth="1"/>
    <col min="68" max="68" width="26.85546875" style="118" customWidth="1"/>
    <col min="69" max="69" width="27.42578125" style="118" customWidth="1"/>
    <col min="70" max="70" width="28.5703125" style="118" customWidth="1"/>
    <col min="71" max="72" width="22.28515625" style="118" hidden="1" customWidth="1"/>
    <col min="73" max="73" width="25.7109375" style="118" hidden="1" customWidth="1"/>
    <col min="74" max="74" width="22.28515625" style="118" hidden="1" customWidth="1"/>
    <col min="75" max="75" width="25.140625" style="118" hidden="1" customWidth="1"/>
    <col min="76" max="78" width="22.28515625" style="118" hidden="1" customWidth="1"/>
    <col min="79" max="85" width="0" style="118" hidden="1" customWidth="1"/>
    <col min="86" max="86" width="28.28515625" style="118" hidden="1" customWidth="1"/>
    <col min="87" max="87" width="59.5703125" style="118" hidden="1" customWidth="1"/>
    <col min="88" max="88" width="22.28515625" style="118" hidden="1" customWidth="1"/>
    <col min="89" max="89" width="25.7109375" style="118" hidden="1" customWidth="1"/>
    <col min="90" max="90" width="22.28515625" style="118" hidden="1" customWidth="1"/>
    <col min="91" max="91" width="25.140625" style="118" hidden="1" customWidth="1"/>
    <col min="92" max="94" width="22.28515625" style="118" hidden="1" customWidth="1"/>
    <col min="95" max="101" width="0" style="118" hidden="1" customWidth="1"/>
    <col min="102" max="102" width="28.28515625" style="118" hidden="1" customWidth="1"/>
    <col min="103" max="103" width="59.5703125" style="118" hidden="1" customWidth="1"/>
    <col min="104" max="104" width="28.28515625" style="118" hidden="1" customWidth="1"/>
    <col min="105" max="105" width="59.5703125" style="118" hidden="1" customWidth="1"/>
    <col min="106" max="106" width="28.28515625" style="118" hidden="1" customWidth="1"/>
    <col min="107" max="115" width="59.5703125" style="118" hidden="1" customWidth="1"/>
    <col min="116" max="118" width="22.28515625" style="118" hidden="1" customWidth="1"/>
    <col min="119" max="125" width="0" style="118" hidden="1" customWidth="1"/>
    <col min="126" max="126" width="28.28515625" style="118" hidden="1" customWidth="1"/>
    <col min="127" max="127" width="59.5703125" style="118" hidden="1" customWidth="1"/>
    <col min="128" max="128" width="22.28515625" style="118" hidden="1" customWidth="1"/>
    <col min="129" max="129" width="25.7109375" style="118" hidden="1" customWidth="1"/>
    <col min="130" max="130" width="22.28515625" style="118" hidden="1" customWidth="1"/>
    <col min="131" max="131" width="25.140625" style="118" hidden="1" customWidth="1"/>
    <col min="132" max="134" width="22.28515625" style="118" hidden="1" customWidth="1"/>
    <col min="135" max="141" width="0" style="118" hidden="1" customWidth="1"/>
    <col min="142" max="142" width="28.28515625" style="118" hidden="1" customWidth="1"/>
    <col min="143" max="143" width="59.5703125" style="118" hidden="1" customWidth="1"/>
    <col min="144" max="144" width="28.28515625" style="118" hidden="1" customWidth="1"/>
    <col min="145" max="145" width="59.5703125" style="118" hidden="1" customWidth="1"/>
    <col min="146" max="146" width="28.28515625" style="118" hidden="1" customWidth="1"/>
    <col min="147" max="155" width="59.5703125" style="118" hidden="1" customWidth="1"/>
    <col min="156" max="157" width="25" style="118" customWidth="1"/>
    <col min="158" max="158" width="27.85546875" style="118" customWidth="1"/>
    <col min="159" max="160" width="22.42578125" style="118" customWidth="1"/>
    <col min="161" max="161" width="22.7109375" style="118" customWidth="1"/>
    <col min="162" max="205" width="0" style="118" hidden="1" customWidth="1"/>
    <col min="206" max="209" width="23.42578125" style="118" customWidth="1"/>
    <col min="210" max="210" width="21.140625" style="118" customWidth="1"/>
    <col min="211" max="211" width="23.42578125" style="118" customWidth="1"/>
    <col min="212" max="212" width="27.7109375" style="118" customWidth="1"/>
    <col min="213" max="214" width="0" style="118" hidden="1" customWidth="1"/>
    <col min="215" max="215" width="43.42578125" style="118" customWidth="1"/>
    <col min="216" max="216" width="55.85546875" style="118" customWidth="1"/>
    <col min="217" max="217" width="47.85546875" style="118" customWidth="1"/>
    <col min="218" max="307" width="9" style="118"/>
    <col min="308" max="308" width="11.5703125" style="118" customWidth="1"/>
    <col min="309" max="311" width="0" style="118" hidden="1" customWidth="1"/>
    <col min="312" max="312" width="69.5703125" style="118" customWidth="1"/>
    <col min="313" max="313" width="17" style="118" customWidth="1"/>
    <col min="314" max="321" width="0" style="118" hidden="1" customWidth="1"/>
    <col min="322" max="322" width="32.28515625" style="118" customWidth="1"/>
    <col min="323" max="323" width="31.85546875" style="118" customWidth="1"/>
    <col min="324" max="324" width="26.85546875" style="118" customWidth="1"/>
    <col min="325" max="325" width="27.42578125" style="118" customWidth="1"/>
    <col min="326" max="326" width="28.5703125" style="118" customWidth="1"/>
    <col min="327" max="411" width="0" style="118" hidden="1" customWidth="1"/>
    <col min="412" max="413" width="25" style="118" customWidth="1"/>
    <col min="414" max="414" width="27.85546875" style="118" customWidth="1"/>
    <col min="415" max="416" width="22.42578125" style="118" customWidth="1"/>
    <col min="417" max="417" width="22.7109375" style="118" customWidth="1"/>
    <col min="418" max="461" width="0" style="118" hidden="1" customWidth="1"/>
    <col min="462" max="465" width="23.42578125" style="118" customWidth="1"/>
    <col min="466" max="466" width="21.140625" style="118" customWidth="1"/>
    <col min="467" max="467" width="23.42578125" style="118" customWidth="1"/>
    <col min="468" max="468" width="27.7109375" style="118" customWidth="1"/>
    <col min="469" max="470" width="0" style="118" hidden="1" customWidth="1"/>
    <col min="471" max="471" width="43.42578125" style="118" customWidth="1"/>
    <col min="472" max="472" width="55.85546875" style="118" customWidth="1"/>
    <col min="473" max="473" width="47.85546875" style="118" customWidth="1"/>
    <col min="474" max="563" width="9" style="118"/>
    <col min="564" max="564" width="11.5703125" style="118" customWidth="1"/>
    <col min="565" max="567" width="0" style="118" hidden="1" customWidth="1"/>
    <col min="568" max="568" width="69.5703125" style="118" customWidth="1"/>
    <col min="569" max="569" width="17" style="118" customWidth="1"/>
    <col min="570" max="577" width="0" style="118" hidden="1" customWidth="1"/>
    <col min="578" max="578" width="32.28515625" style="118" customWidth="1"/>
    <col min="579" max="579" width="31.85546875" style="118" customWidth="1"/>
    <col min="580" max="580" width="26.85546875" style="118" customWidth="1"/>
    <col min="581" max="581" width="27.42578125" style="118" customWidth="1"/>
    <col min="582" max="582" width="28.5703125" style="118" customWidth="1"/>
    <col min="583" max="667" width="0" style="118" hidden="1" customWidth="1"/>
    <col min="668" max="669" width="25" style="118" customWidth="1"/>
    <col min="670" max="670" width="27.85546875" style="118" customWidth="1"/>
    <col min="671" max="672" width="22.42578125" style="118" customWidth="1"/>
    <col min="673" max="673" width="22.7109375" style="118" customWidth="1"/>
    <col min="674" max="717" width="0" style="118" hidden="1" customWidth="1"/>
    <col min="718" max="721" width="23.42578125" style="118" customWidth="1"/>
    <col min="722" max="722" width="21.140625" style="118" customWidth="1"/>
    <col min="723" max="723" width="23.42578125" style="118" customWidth="1"/>
    <col min="724" max="724" width="27.7109375" style="118" customWidth="1"/>
    <col min="725" max="726" width="0" style="118" hidden="1" customWidth="1"/>
    <col min="727" max="727" width="43.42578125" style="118" customWidth="1"/>
    <col min="728" max="728" width="55.85546875" style="118" customWidth="1"/>
    <col min="729" max="729" width="47.85546875" style="118" customWidth="1"/>
    <col min="730" max="819" width="9" style="118"/>
    <col min="820" max="820" width="11.5703125" style="118" customWidth="1"/>
    <col min="821" max="823" width="0" style="118" hidden="1" customWidth="1"/>
    <col min="824" max="824" width="69.5703125" style="118" customWidth="1"/>
    <col min="825" max="825" width="17" style="118" customWidth="1"/>
    <col min="826" max="833" width="0" style="118" hidden="1" customWidth="1"/>
    <col min="834" max="834" width="32.28515625" style="118" customWidth="1"/>
    <col min="835" max="835" width="31.85546875" style="118" customWidth="1"/>
    <col min="836" max="836" width="26.85546875" style="118" customWidth="1"/>
    <col min="837" max="837" width="27.42578125" style="118" customWidth="1"/>
    <col min="838" max="838" width="28.5703125" style="118" customWidth="1"/>
    <col min="839" max="923" width="0" style="118" hidden="1" customWidth="1"/>
    <col min="924" max="925" width="25" style="118" customWidth="1"/>
    <col min="926" max="926" width="27.85546875" style="118" customWidth="1"/>
    <col min="927" max="928" width="22.42578125" style="118" customWidth="1"/>
    <col min="929" max="929" width="22.7109375" style="118" customWidth="1"/>
    <col min="930" max="973" width="0" style="118" hidden="1" customWidth="1"/>
    <col min="974" max="977" width="23.42578125" style="118" customWidth="1"/>
    <col min="978" max="978" width="21.140625" style="118" customWidth="1"/>
    <col min="979" max="979" width="23.42578125" style="118" customWidth="1"/>
    <col min="980" max="980" width="27.7109375" style="118" customWidth="1"/>
    <col min="981" max="982" width="0" style="118" hidden="1" customWidth="1"/>
    <col min="983" max="983" width="43.42578125" style="118" customWidth="1"/>
    <col min="984" max="984" width="55.85546875" style="118" customWidth="1"/>
    <col min="985" max="985" width="47.85546875" style="118" customWidth="1"/>
    <col min="986" max="1075" width="9" style="118"/>
    <col min="1076" max="1076" width="11.5703125" style="118" customWidth="1"/>
    <col min="1077" max="1079" width="0" style="118" hidden="1" customWidth="1"/>
    <col min="1080" max="1080" width="69.5703125" style="118" customWidth="1"/>
    <col min="1081" max="1081" width="17" style="118" customWidth="1"/>
    <col min="1082" max="1089" width="0" style="118" hidden="1" customWidth="1"/>
    <col min="1090" max="1090" width="32.28515625" style="118" customWidth="1"/>
    <col min="1091" max="1091" width="31.85546875" style="118" customWidth="1"/>
    <col min="1092" max="1092" width="26.85546875" style="118" customWidth="1"/>
    <col min="1093" max="1093" width="27.42578125" style="118" customWidth="1"/>
    <col min="1094" max="1094" width="28.5703125" style="118" customWidth="1"/>
    <col min="1095" max="1179" width="0" style="118" hidden="1" customWidth="1"/>
    <col min="1180" max="1181" width="25" style="118" customWidth="1"/>
    <col min="1182" max="1182" width="27.85546875" style="118" customWidth="1"/>
    <col min="1183" max="1184" width="22.42578125" style="118" customWidth="1"/>
    <col min="1185" max="1185" width="22.7109375" style="118" customWidth="1"/>
    <col min="1186" max="1229" width="0" style="118" hidden="1" customWidth="1"/>
    <col min="1230" max="1233" width="23.42578125" style="118" customWidth="1"/>
    <col min="1234" max="1234" width="21.140625" style="118" customWidth="1"/>
    <col min="1235" max="1235" width="23.42578125" style="118" customWidth="1"/>
    <col min="1236" max="1236" width="27.7109375" style="118" customWidth="1"/>
    <col min="1237" max="1238" width="0" style="118" hidden="1" customWidth="1"/>
    <col min="1239" max="1239" width="43.42578125" style="118" customWidth="1"/>
    <col min="1240" max="1240" width="55.85546875" style="118" customWidth="1"/>
    <col min="1241" max="1241" width="47.85546875" style="118" customWidth="1"/>
    <col min="1242" max="1331" width="9" style="118"/>
    <col min="1332" max="1332" width="11.5703125" style="118" customWidth="1"/>
    <col min="1333" max="1335" width="0" style="118" hidden="1" customWidth="1"/>
    <col min="1336" max="1336" width="69.5703125" style="118" customWidth="1"/>
    <col min="1337" max="1337" width="17" style="118" customWidth="1"/>
    <col min="1338" max="1345" width="0" style="118" hidden="1" customWidth="1"/>
    <col min="1346" max="1346" width="32.28515625" style="118" customWidth="1"/>
    <col min="1347" max="1347" width="31.85546875" style="118" customWidth="1"/>
    <col min="1348" max="1348" width="26.85546875" style="118" customWidth="1"/>
    <col min="1349" max="1349" width="27.42578125" style="118" customWidth="1"/>
    <col min="1350" max="1350" width="28.5703125" style="118" customWidth="1"/>
    <col min="1351" max="1435" width="0" style="118" hidden="1" customWidth="1"/>
    <col min="1436" max="1437" width="25" style="118" customWidth="1"/>
    <col min="1438" max="1438" width="27.85546875" style="118" customWidth="1"/>
    <col min="1439" max="1440" width="22.42578125" style="118" customWidth="1"/>
    <col min="1441" max="1441" width="22.7109375" style="118" customWidth="1"/>
    <col min="1442" max="1485" width="0" style="118" hidden="1" customWidth="1"/>
    <col min="1486" max="1489" width="23.42578125" style="118" customWidth="1"/>
    <col min="1490" max="1490" width="21.140625" style="118" customWidth="1"/>
    <col min="1491" max="1491" width="23.42578125" style="118" customWidth="1"/>
    <col min="1492" max="1492" width="27.7109375" style="118" customWidth="1"/>
    <col min="1493" max="1494" width="0" style="118" hidden="1" customWidth="1"/>
    <col min="1495" max="1495" width="43.42578125" style="118" customWidth="1"/>
    <col min="1496" max="1496" width="55.85546875" style="118" customWidth="1"/>
    <col min="1497" max="1497" width="47.85546875" style="118" customWidth="1"/>
    <col min="1498" max="1587" width="9" style="118"/>
    <col min="1588" max="1588" width="11.5703125" style="118" customWidth="1"/>
    <col min="1589" max="1591" width="0" style="118" hidden="1" customWidth="1"/>
    <col min="1592" max="1592" width="69.5703125" style="118" customWidth="1"/>
    <col min="1593" max="1593" width="17" style="118" customWidth="1"/>
    <col min="1594" max="1601" width="0" style="118" hidden="1" customWidth="1"/>
    <col min="1602" max="1602" width="32.28515625" style="118" customWidth="1"/>
    <col min="1603" max="1603" width="31.85546875" style="118" customWidth="1"/>
    <col min="1604" max="1604" width="26.85546875" style="118" customWidth="1"/>
    <col min="1605" max="1605" width="27.42578125" style="118" customWidth="1"/>
    <col min="1606" max="1606" width="28.5703125" style="118" customWidth="1"/>
    <col min="1607" max="1691" width="0" style="118" hidden="1" customWidth="1"/>
    <col min="1692" max="1693" width="25" style="118" customWidth="1"/>
    <col min="1694" max="1694" width="27.85546875" style="118" customWidth="1"/>
    <col min="1695" max="1696" width="22.42578125" style="118" customWidth="1"/>
    <col min="1697" max="1697" width="22.7109375" style="118" customWidth="1"/>
    <col min="1698" max="1741" width="0" style="118" hidden="1" customWidth="1"/>
    <col min="1742" max="1745" width="23.42578125" style="118" customWidth="1"/>
    <col min="1746" max="1746" width="21.140625" style="118" customWidth="1"/>
    <col min="1747" max="1747" width="23.42578125" style="118" customWidth="1"/>
    <col min="1748" max="1748" width="27.7109375" style="118" customWidth="1"/>
    <col min="1749" max="1750" width="0" style="118" hidden="1" customWidth="1"/>
    <col min="1751" max="1751" width="43.42578125" style="118" customWidth="1"/>
    <col min="1752" max="1752" width="55.85546875" style="118" customWidth="1"/>
    <col min="1753" max="1753" width="47.85546875" style="118" customWidth="1"/>
    <col min="1754" max="1843" width="9" style="118"/>
    <col min="1844" max="1844" width="11.5703125" style="118" customWidth="1"/>
    <col min="1845" max="1847" width="0" style="118" hidden="1" customWidth="1"/>
    <col min="1848" max="1848" width="69.5703125" style="118" customWidth="1"/>
    <col min="1849" max="1849" width="17" style="118" customWidth="1"/>
    <col min="1850" max="1857" width="0" style="118" hidden="1" customWidth="1"/>
    <col min="1858" max="1858" width="32.28515625" style="118" customWidth="1"/>
    <col min="1859" max="1859" width="31.85546875" style="118" customWidth="1"/>
    <col min="1860" max="1860" width="26.85546875" style="118" customWidth="1"/>
    <col min="1861" max="1861" width="27.42578125" style="118" customWidth="1"/>
    <col min="1862" max="1862" width="28.5703125" style="118" customWidth="1"/>
    <col min="1863" max="1947" width="0" style="118" hidden="1" customWidth="1"/>
    <col min="1948" max="1949" width="25" style="118" customWidth="1"/>
    <col min="1950" max="1950" width="27.85546875" style="118" customWidth="1"/>
    <col min="1951" max="1952" width="22.42578125" style="118" customWidth="1"/>
    <col min="1953" max="1953" width="22.7109375" style="118" customWidth="1"/>
    <col min="1954" max="1997" width="0" style="118" hidden="1" customWidth="1"/>
    <col min="1998" max="2001" width="23.42578125" style="118" customWidth="1"/>
    <col min="2002" max="2002" width="21.140625" style="118" customWidth="1"/>
    <col min="2003" max="2003" width="23.42578125" style="118" customWidth="1"/>
    <col min="2004" max="2004" width="27.7109375" style="118" customWidth="1"/>
    <col min="2005" max="2006" width="0" style="118" hidden="1" customWidth="1"/>
    <col min="2007" max="2007" width="43.42578125" style="118" customWidth="1"/>
    <col min="2008" max="2008" width="55.85546875" style="118" customWidth="1"/>
    <col min="2009" max="2009" width="47.85546875" style="118" customWidth="1"/>
    <col min="2010" max="2099" width="9" style="118"/>
    <col min="2100" max="2100" width="11.5703125" style="118" customWidth="1"/>
    <col min="2101" max="2103" width="0" style="118" hidden="1" customWidth="1"/>
    <col min="2104" max="2104" width="69.5703125" style="118" customWidth="1"/>
    <col min="2105" max="2105" width="17" style="118" customWidth="1"/>
    <col min="2106" max="2113" width="0" style="118" hidden="1" customWidth="1"/>
    <col min="2114" max="2114" width="32.28515625" style="118" customWidth="1"/>
    <col min="2115" max="2115" width="31.85546875" style="118" customWidth="1"/>
    <col min="2116" max="2116" width="26.85546875" style="118" customWidth="1"/>
    <col min="2117" max="2117" width="27.42578125" style="118" customWidth="1"/>
    <col min="2118" max="2118" width="28.5703125" style="118" customWidth="1"/>
    <col min="2119" max="2203" width="0" style="118" hidden="1" customWidth="1"/>
    <col min="2204" max="2205" width="25" style="118" customWidth="1"/>
    <col min="2206" max="2206" width="27.85546875" style="118" customWidth="1"/>
    <col min="2207" max="2208" width="22.42578125" style="118" customWidth="1"/>
    <col min="2209" max="2209" width="22.7109375" style="118" customWidth="1"/>
    <col min="2210" max="2253" width="0" style="118" hidden="1" customWidth="1"/>
    <col min="2254" max="2257" width="23.42578125" style="118" customWidth="1"/>
    <col min="2258" max="2258" width="21.140625" style="118" customWidth="1"/>
    <col min="2259" max="2259" width="23.42578125" style="118" customWidth="1"/>
    <col min="2260" max="2260" width="27.7109375" style="118" customWidth="1"/>
    <col min="2261" max="2262" width="0" style="118" hidden="1" customWidth="1"/>
    <col min="2263" max="2263" width="43.42578125" style="118" customWidth="1"/>
    <col min="2264" max="2264" width="55.85546875" style="118" customWidth="1"/>
    <col min="2265" max="2265" width="47.85546875" style="118" customWidth="1"/>
    <col min="2266" max="2355" width="9" style="118"/>
    <col min="2356" max="2356" width="11.5703125" style="118" customWidth="1"/>
    <col min="2357" max="2359" width="0" style="118" hidden="1" customWidth="1"/>
    <col min="2360" max="2360" width="69.5703125" style="118" customWidth="1"/>
    <col min="2361" max="2361" width="17" style="118" customWidth="1"/>
    <col min="2362" max="2369" width="0" style="118" hidden="1" customWidth="1"/>
    <col min="2370" max="2370" width="32.28515625" style="118" customWidth="1"/>
    <col min="2371" max="2371" width="31.85546875" style="118" customWidth="1"/>
    <col min="2372" max="2372" width="26.85546875" style="118" customWidth="1"/>
    <col min="2373" max="2373" width="27.42578125" style="118" customWidth="1"/>
    <col min="2374" max="2374" width="28.5703125" style="118" customWidth="1"/>
    <col min="2375" max="2459" width="0" style="118" hidden="1" customWidth="1"/>
    <col min="2460" max="2461" width="25" style="118" customWidth="1"/>
    <col min="2462" max="2462" width="27.85546875" style="118" customWidth="1"/>
    <col min="2463" max="2464" width="22.42578125" style="118" customWidth="1"/>
    <col min="2465" max="2465" width="22.7109375" style="118" customWidth="1"/>
    <col min="2466" max="2509" width="0" style="118" hidden="1" customWidth="1"/>
    <col min="2510" max="2513" width="23.42578125" style="118" customWidth="1"/>
    <col min="2514" max="2514" width="21.140625" style="118" customWidth="1"/>
    <col min="2515" max="2515" width="23.42578125" style="118" customWidth="1"/>
    <col min="2516" max="2516" width="27.7109375" style="118" customWidth="1"/>
    <col min="2517" max="2518" width="0" style="118" hidden="1" customWidth="1"/>
    <col min="2519" max="2519" width="43.42578125" style="118" customWidth="1"/>
    <col min="2520" max="2520" width="55.85546875" style="118" customWidth="1"/>
    <col min="2521" max="2521" width="47.85546875" style="118" customWidth="1"/>
    <col min="2522" max="2611" width="9" style="118"/>
    <col min="2612" max="2612" width="11.5703125" style="118" customWidth="1"/>
    <col min="2613" max="2615" width="0" style="118" hidden="1" customWidth="1"/>
    <col min="2616" max="2616" width="69.5703125" style="118" customWidth="1"/>
    <col min="2617" max="2617" width="17" style="118" customWidth="1"/>
    <col min="2618" max="2625" width="0" style="118" hidden="1" customWidth="1"/>
    <col min="2626" max="2626" width="32.28515625" style="118" customWidth="1"/>
    <col min="2627" max="2627" width="31.85546875" style="118" customWidth="1"/>
    <col min="2628" max="2628" width="26.85546875" style="118" customWidth="1"/>
    <col min="2629" max="2629" width="27.42578125" style="118" customWidth="1"/>
    <col min="2630" max="2630" width="28.5703125" style="118" customWidth="1"/>
    <col min="2631" max="2715" width="0" style="118" hidden="1" customWidth="1"/>
    <col min="2716" max="2717" width="25" style="118" customWidth="1"/>
    <col min="2718" max="2718" width="27.85546875" style="118" customWidth="1"/>
    <col min="2719" max="2720" width="22.42578125" style="118" customWidth="1"/>
    <col min="2721" max="2721" width="22.7109375" style="118" customWidth="1"/>
    <col min="2722" max="2765" width="0" style="118" hidden="1" customWidth="1"/>
    <col min="2766" max="2769" width="23.42578125" style="118" customWidth="1"/>
    <col min="2770" max="2770" width="21.140625" style="118" customWidth="1"/>
    <col min="2771" max="2771" width="23.42578125" style="118" customWidth="1"/>
    <col min="2772" max="2772" width="27.7109375" style="118" customWidth="1"/>
    <col min="2773" max="2774" width="0" style="118" hidden="1" customWidth="1"/>
    <col min="2775" max="2775" width="43.42578125" style="118" customWidth="1"/>
    <col min="2776" max="2776" width="55.85546875" style="118" customWidth="1"/>
    <col min="2777" max="2777" width="47.85546875" style="118" customWidth="1"/>
    <col min="2778" max="2867" width="9" style="118"/>
    <col min="2868" max="2868" width="11.5703125" style="118" customWidth="1"/>
    <col min="2869" max="2871" width="0" style="118" hidden="1" customWidth="1"/>
    <col min="2872" max="2872" width="69.5703125" style="118" customWidth="1"/>
    <col min="2873" max="2873" width="17" style="118" customWidth="1"/>
    <col min="2874" max="2881" width="0" style="118" hidden="1" customWidth="1"/>
    <col min="2882" max="2882" width="32.28515625" style="118" customWidth="1"/>
    <col min="2883" max="2883" width="31.85546875" style="118" customWidth="1"/>
    <col min="2884" max="2884" width="26.85546875" style="118" customWidth="1"/>
    <col min="2885" max="2885" width="27.42578125" style="118" customWidth="1"/>
    <col min="2886" max="2886" width="28.5703125" style="118" customWidth="1"/>
    <col min="2887" max="2971" width="0" style="118" hidden="1" customWidth="1"/>
    <col min="2972" max="2973" width="25" style="118" customWidth="1"/>
    <col min="2974" max="2974" width="27.85546875" style="118" customWidth="1"/>
    <col min="2975" max="2976" width="22.42578125" style="118" customWidth="1"/>
    <col min="2977" max="2977" width="22.7109375" style="118" customWidth="1"/>
    <col min="2978" max="3021" width="0" style="118" hidden="1" customWidth="1"/>
    <col min="3022" max="3025" width="23.42578125" style="118" customWidth="1"/>
    <col min="3026" max="3026" width="21.140625" style="118" customWidth="1"/>
    <col min="3027" max="3027" width="23.42578125" style="118" customWidth="1"/>
    <col min="3028" max="3028" width="27.7109375" style="118" customWidth="1"/>
    <col min="3029" max="3030" width="0" style="118" hidden="1" customWidth="1"/>
    <col min="3031" max="3031" width="43.42578125" style="118" customWidth="1"/>
    <col min="3032" max="3032" width="55.85546875" style="118" customWidth="1"/>
    <col min="3033" max="3033" width="47.85546875" style="118" customWidth="1"/>
    <col min="3034" max="3123" width="9" style="118"/>
    <col min="3124" max="3124" width="11.5703125" style="118" customWidth="1"/>
    <col min="3125" max="3127" width="0" style="118" hidden="1" customWidth="1"/>
    <col min="3128" max="3128" width="69.5703125" style="118" customWidth="1"/>
    <col min="3129" max="3129" width="17" style="118" customWidth="1"/>
    <col min="3130" max="3137" width="0" style="118" hidden="1" customWidth="1"/>
    <col min="3138" max="3138" width="32.28515625" style="118" customWidth="1"/>
    <col min="3139" max="3139" width="31.85546875" style="118" customWidth="1"/>
    <col min="3140" max="3140" width="26.85546875" style="118" customWidth="1"/>
    <col min="3141" max="3141" width="27.42578125" style="118" customWidth="1"/>
    <col min="3142" max="3142" width="28.5703125" style="118" customWidth="1"/>
    <col min="3143" max="3227" width="0" style="118" hidden="1" customWidth="1"/>
    <col min="3228" max="3229" width="25" style="118" customWidth="1"/>
    <col min="3230" max="3230" width="27.85546875" style="118" customWidth="1"/>
    <col min="3231" max="3232" width="22.42578125" style="118" customWidth="1"/>
    <col min="3233" max="3233" width="22.7109375" style="118" customWidth="1"/>
    <col min="3234" max="3277" width="0" style="118" hidden="1" customWidth="1"/>
    <col min="3278" max="3281" width="23.42578125" style="118" customWidth="1"/>
    <col min="3282" max="3282" width="21.140625" style="118" customWidth="1"/>
    <col min="3283" max="3283" width="23.42578125" style="118" customWidth="1"/>
    <col min="3284" max="3284" width="27.7109375" style="118" customWidth="1"/>
    <col min="3285" max="3286" width="0" style="118" hidden="1" customWidth="1"/>
    <col min="3287" max="3287" width="43.42578125" style="118" customWidth="1"/>
    <col min="3288" max="3288" width="55.85546875" style="118" customWidth="1"/>
    <col min="3289" max="3289" width="47.85546875" style="118" customWidth="1"/>
    <col min="3290" max="3379" width="9" style="118"/>
    <col min="3380" max="3380" width="11.5703125" style="118" customWidth="1"/>
    <col min="3381" max="3383" width="0" style="118" hidden="1" customWidth="1"/>
    <col min="3384" max="3384" width="69.5703125" style="118" customWidth="1"/>
    <col min="3385" max="3385" width="17" style="118" customWidth="1"/>
    <col min="3386" max="3393" width="0" style="118" hidden="1" customWidth="1"/>
    <col min="3394" max="3394" width="32.28515625" style="118" customWidth="1"/>
    <col min="3395" max="3395" width="31.85546875" style="118" customWidth="1"/>
    <col min="3396" max="3396" width="26.85546875" style="118" customWidth="1"/>
    <col min="3397" max="3397" width="27.42578125" style="118" customWidth="1"/>
    <col min="3398" max="3398" width="28.5703125" style="118" customWidth="1"/>
    <col min="3399" max="3483" width="0" style="118" hidden="1" customWidth="1"/>
    <col min="3484" max="3485" width="25" style="118" customWidth="1"/>
    <col min="3486" max="3486" width="27.85546875" style="118" customWidth="1"/>
    <col min="3487" max="3488" width="22.42578125" style="118" customWidth="1"/>
    <col min="3489" max="3489" width="22.7109375" style="118" customWidth="1"/>
    <col min="3490" max="3533" width="0" style="118" hidden="1" customWidth="1"/>
    <col min="3534" max="3537" width="23.42578125" style="118" customWidth="1"/>
    <col min="3538" max="3538" width="21.140625" style="118" customWidth="1"/>
    <col min="3539" max="3539" width="23.42578125" style="118" customWidth="1"/>
    <col min="3540" max="3540" width="27.7109375" style="118" customWidth="1"/>
    <col min="3541" max="3542" width="0" style="118" hidden="1" customWidth="1"/>
    <col min="3543" max="3543" width="43.42578125" style="118" customWidth="1"/>
    <col min="3544" max="3544" width="55.85546875" style="118" customWidth="1"/>
    <col min="3545" max="3545" width="47.85546875" style="118" customWidth="1"/>
    <col min="3546" max="3635" width="9" style="118"/>
    <col min="3636" max="3636" width="11.5703125" style="118" customWidth="1"/>
    <col min="3637" max="3639" width="0" style="118" hidden="1" customWidth="1"/>
    <col min="3640" max="3640" width="69.5703125" style="118" customWidth="1"/>
    <col min="3641" max="3641" width="17" style="118" customWidth="1"/>
    <col min="3642" max="3649" width="0" style="118" hidden="1" customWidth="1"/>
    <col min="3650" max="3650" width="32.28515625" style="118" customWidth="1"/>
    <col min="3651" max="3651" width="31.85546875" style="118" customWidth="1"/>
    <col min="3652" max="3652" width="26.85546875" style="118" customWidth="1"/>
    <col min="3653" max="3653" width="27.42578125" style="118" customWidth="1"/>
    <col min="3654" max="3654" width="28.5703125" style="118" customWidth="1"/>
    <col min="3655" max="3739" width="0" style="118" hidden="1" customWidth="1"/>
    <col min="3740" max="3741" width="25" style="118" customWidth="1"/>
    <col min="3742" max="3742" width="27.85546875" style="118" customWidth="1"/>
    <col min="3743" max="3744" width="22.42578125" style="118" customWidth="1"/>
    <col min="3745" max="3745" width="22.7109375" style="118" customWidth="1"/>
    <col min="3746" max="3789" width="0" style="118" hidden="1" customWidth="1"/>
    <col min="3790" max="3793" width="23.42578125" style="118" customWidth="1"/>
    <col min="3794" max="3794" width="21.140625" style="118" customWidth="1"/>
    <col min="3795" max="3795" width="23.42578125" style="118" customWidth="1"/>
    <col min="3796" max="3796" width="27.7109375" style="118" customWidth="1"/>
    <col min="3797" max="3798" width="0" style="118" hidden="1" customWidth="1"/>
    <col min="3799" max="3799" width="43.42578125" style="118" customWidth="1"/>
    <col min="3800" max="3800" width="55.85546875" style="118" customWidth="1"/>
    <col min="3801" max="3801" width="47.85546875" style="118" customWidth="1"/>
    <col min="3802" max="3891" width="9" style="118"/>
    <col min="3892" max="3892" width="11.5703125" style="118" customWidth="1"/>
    <col min="3893" max="3895" width="0" style="118" hidden="1" customWidth="1"/>
    <col min="3896" max="3896" width="69.5703125" style="118" customWidth="1"/>
    <col min="3897" max="3897" width="17" style="118" customWidth="1"/>
    <col min="3898" max="3905" width="0" style="118" hidden="1" customWidth="1"/>
    <col min="3906" max="3906" width="32.28515625" style="118" customWidth="1"/>
    <col min="3907" max="3907" width="31.85546875" style="118" customWidth="1"/>
    <col min="3908" max="3908" width="26.85546875" style="118" customWidth="1"/>
    <col min="3909" max="3909" width="27.42578125" style="118" customWidth="1"/>
    <col min="3910" max="3910" width="28.5703125" style="118" customWidth="1"/>
    <col min="3911" max="3995" width="0" style="118" hidden="1" customWidth="1"/>
    <col min="3996" max="3997" width="25" style="118" customWidth="1"/>
    <col min="3998" max="3998" width="27.85546875" style="118" customWidth="1"/>
    <col min="3999" max="4000" width="22.42578125" style="118" customWidth="1"/>
    <col min="4001" max="4001" width="22.7109375" style="118" customWidth="1"/>
    <col min="4002" max="4045" width="0" style="118" hidden="1" customWidth="1"/>
    <col min="4046" max="4049" width="23.42578125" style="118" customWidth="1"/>
    <col min="4050" max="4050" width="21.140625" style="118" customWidth="1"/>
    <col min="4051" max="4051" width="23.42578125" style="118" customWidth="1"/>
    <col min="4052" max="4052" width="27.7109375" style="118" customWidth="1"/>
    <col min="4053" max="4054" width="0" style="118" hidden="1" customWidth="1"/>
    <col min="4055" max="4055" width="43.42578125" style="118" customWidth="1"/>
    <col min="4056" max="4056" width="55.85546875" style="118" customWidth="1"/>
    <col min="4057" max="4057" width="47.85546875" style="118" customWidth="1"/>
    <col min="4058" max="4147" width="9" style="118"/>
    <col min="4148" max="4148" width="11.5703125" style="118" customWidth="1"/>
    <col min="4149" max="4151" width="0" style="118" hidden="1" customWidth="1"/>
    <col min="4152" max="4152" width="69.5703125" style="118" customWidth="1"/>
    <col min="4153" max="4153" width="17" style="118" customWidth="1"/>
    <col min="4154" max="4161" width="0" style="118" hidden="1" customWidth="1"/>
    <col min="4162" max="4162" width="32.28515625" style="118" customWidth="1"/>
    <col min="4163" max="4163" width="31.85546875" style="118" customWidth="1"/>
    <col min="4164" max="4164" width="26.85546875" style="118" customWidth="1"/>
    <col min="4165" max="4165" width="27.42578125" style="118" customWidth="1"/>
    <col min="4166" max="4166" width="28.5703125" style="118" customWidth="1"/>
    <col min="4167" max="4251" width="0" style="118" hidden="1" customWidth="1"/>
    <col min="4252" max="4253" width="25" style="118" customWidth="1"/>
    <col min="4254" max="4254" width="27.85546875" style="118" customWidth="1"/>
    <col min="4255" max="4256" width="22.42578125" style="118" customWidth="1"/>
    <col min="4257" max="4257" width="22.7109375" style="118" customWidth="1"/>
    <col min="4258" max="4301" width="0" style="118" hidden="1" customWidth="1"/>
    <col min="4302" max="4305" width="23.42578125" style="118" customWidth="1"/>
    <col min="4306" max="4306" width="21.140625" style="118" customWidth="1"/>
    <col min="4307" max="4307" width="23.42578125" style="118" customWidth="1"/>
    <col min="4308" max="4308" width="27.7109375" style="118" customWidth="1"/>
    <col min="4309" max="4310" width="0" style="118" hidden="1" customWidth="1"/>
    <col min="4311" max="4311" width="43.42578125" style="118" customWidth="1"/>
    <col min="4312" max="4312" width="55.85546875" style="118" customWidth="1"/>
    <col min="4313" max="4313" width="47.85546875" style="118" customWidth="1"/>
    <col min="4314" max="4403" width="9" style="118"/>
    <col min="4404" max="4404" width="11.5703125" style="118" customWidth="1"/>
    <col min="4405" max="4407" width="0" style="118" hidden="1" customWidth="1"/>
    <col min="4408" max="4408" width="69.5703125" style="118" customWidth="1"/>
    <col min="4409" max="4409" width="17" style="118" customWidth="1"/>
    <col min="4410" max="4417" width="0" style="118" hidden="1" customWidth="1"/>
    <col min="4418" max="4418" width="32.28515625" style="118" customWidth="1"/>
    <col min="4419" max="4419" width="31.85546875" style="118" customWidth="1"/>
    <col min="4420" max="4420" width="26.85546875" style="118" customWidth="1"/>
    <col min="4421" max="4421" width="27.42578125" style="118" customWidth="1"/>
    <col min="4422" max="4422" width="28.5703125" style="118" customWidth="1"/>
    <col min="4423" max="4507" width="0" style="118" hidden="1" customWidth="1"/>
    <col min="4508" max="4509" width="25" style="118" customWidth="1"/>
    <col min="4510" max="4510" width="27.85546875" style="118" customWidth="1"/>
    <col min="4511" max="4512" width="22.42578125" style="118" customWidth="1"/>
    <col min="4513" max="4513" width="22.7109375" style="118" customWidth="1"/>
    <col min="4514" max="4557" width="0" style="118" hidden="1" customWidth="1"/>
    <col min="4558" max="4561" width="23.42578125" style="118" customWidth="1"/>
    <col min="4562" max="4562" width="21.140625" style="118" customWidth="1"/>
    <col min="4563" max="4563" width="23.42578125" style="118" customWidth="1"/>
    <col min="4564" max="4564" width="27.7109375" style="118" customWidth="1"/>
    <col min="4565" max="4566" width="0" style="118" hidden="1" customWidth="1"/>
    <col min="4567" max="4567" width="43.42578125" style="118" customWidth="1"/>
    <col min="4568" max="4568" width="55.85546875" style="118" customWidth="1"/>
    <col min="4569" max="4569" width="47.85546875" style="118" customWidth="1"/>
    <col min="4570" max="4659" width="9" style="118"/>
    <col min="4660" max="4660" width="11.5703125" style="118" customWidth="1"/>
    <col min="4661" max="4663" width="0" style="118" hidden="1" customWidth="1"/>
    <col min="4664" max="4664" width="69.5703125" style="118" customWidth="1"/>
    <col min="4665" max="4665" width="17" style="118" customWidth="1"/>
    <col min="4666" max="4673" width="0" style="118" hidden="1" customWidth="1"/>
    <col min="4674" max="4674" width="32.28515625" style="118" customWidth="1"/>
    <col min="4675" max="4675" width="31.85546875" style="118" customWidth="1"/>
    <col min="4676" max="4676" width="26.85546875" style="118" customWidth="1"/>
    <col min="4677" max="4677" width="27.42578125" style="118" customWidth="1"/>
    <col min="4678" max="4678" width="28.5703125" style="118" customWidth="1"/>
    <col min="4679" max="4763" width="0" style="118" hidden="1" customWidth="1"/>
    <col min="4764" max="4765" width="25" style="118" customWidth="1"/>
    <col min="4766" max="4766" width="27.85546875" style="118" customWidth="1"/>
    <col min="4767" max="4768" width="22.42578125" style="118" customWidth="1"/>
    <col min="4769" max="4769" width="22.7109375" style="118" customWidth="1"/>
    <col min="4770" max="4813" width="0" style="118" hidden="1" customWidth="1"/>
    <col min="4814" max="4817" width="23.42578125" style="118" customWidth="1"/>
    <col min="4818" max="4818" width="21.140625" style="118" customWidth="1"/>
    <col min="4819" max="4819" width="23.42578125" style="118" customWidth="1"/>
    <col min="4820" max="4820" width="27.7109375" style="118" customWidth="1"/>
    <col min="4821" max="4822" width="0" style="118" hidden="1" customWidth="1"/>
    <col min="4823" max="4823" width="43.42578125" style="118" customWidth="1"/>
    <col min="4824" max="4824" width="55.85546875" style="118" customWidth="1"/>
    <col min="4825" max="4825" width="47.85546875" style="118" customWidth="1"/>
    <col min="4826" max="4915" width="9" style="118"/>
    <col min="4916" max="4916" width="11.5703125" style="118" customWidth="1"/>
    <col min="4917" max="4919" width="0" style="118" hidden="1" customWidth="1"/>
    <col min="4920" max="4920" width="69.5703125" style="118" customWidth="1"/>
    <col min="4921" max="4921" width="17" style="118" customWidth="1"/>
    <col min="4922" max="4929" width="0" style="118" hidden="1" customWidth="1"/>
    <col min="4930" max="4930" width="32.28515625" style="118" customWidth="1"/>
    <col min="4931" max="4931" width="31.85546875" style="118" customWidth="1"/>
    <col min="4932" max="4932" width="26.85546875" style="118" customWidth="1"/>
    <col min="4933" max="4933" width="27.42578125" style="118" customWidth="1"/>
    <col min="4934" max="4934" width="28.5703125" style="118" customWidth="1"/>
    <col min="4935" max="5019" width="0" style="118" hidden="1" customWidth="1"/>
    <col min="5020" max="5021" width="25" style="118" customWidth="1"/>
    <col min="5022" max="5022" width="27.85546875" style="118" customWidth="1"/>
    <col min="5023" max="5024" width="22.42578125" style="118" customWidth="1"/>
    <col min="5025" max="5025" width="22.7109375" style="118" customWidth="1"/>
    <col min="5026" max="5069" width="0" style="118" hidden="1" customWidth="1"/>
    <col min="5070" max="5073" width="23.42578125" style="118" customWidth="1"/>
    <col min="5074" max="5074" width="21.140625" style="118" customWidth="1"/>
    <col min="5075" max="5075" width="23.42578125" style="118" customWidth="1"/>
    <col min="5076" max="5076" width="27.7109375" style="118" customWidth="1"/>
    <col min="5077" max="5078" width="0" style="118" hidden="1" customWidth="1"/>
    <col min="5079" max="5079" width="43.42578125" style="118" customWidth="1"/>
    <col min="5080" max="5080" width="55.85546875" style="118" customWidth="1"/>
    <col min="5081" max="5081" width="47.85546875" style="118" customWidth="1"/>
    <col min="5082" max="5171" width="9" style="118"/>
    <col min="5172" max="5172" width="11.5703125" style="118" customWidth="1"/>
    <col min="5173" max="5175" width="0" style="118" hidden="1" customWidth="1"/>
    <col min="5176" max="5176" width="69.5703125" style="118" customWidth="1"/>
    <col min="5177" max="5177" width="17" style="118" customWidth="1"/>
    <col min="5178" max="5185" width="0" style="118" hidden="1" customWidth="1"/>
    <col min="5186" max="5186" width="32.28515625" style="118" customWidth="1"/>
    <col min="5187" max="5187" width="31.85546875" style="118" customWidth="1"/>
    <col min="5188" max="5188" width="26.85546875" style="118" customWidth="1"/>
    <col min="5189" max="5189" width="27.42578125" style="118" customWidth="1"/>
    <col min="5190" max="5190" width="28.5703125" style="118" customWidth="1"/>
    <col min="5191" max="5275" width="0" style="118" hidden="1" customWidth="1"/>
    <col min="5276" max="5277" width="25" style="118" customWidth="1"/>
    <col min="5278" max="5278" width="27.85546875" style="118" customWidth="1"/>
    <col min="5279" max="5280" width="22.42578125" style="118" customWidth="1"/>
    <col min="5281" max="5281" width="22.7109375" style="118" customWidth="1"/>
    <col min="5282" max="5325" width="0" style="118" hidden="1" customWidth="1"/>
    <col min="5326" max="5329" width="23.42578125" style="118" customWidth="1"/>
    <col min="5330" max="5330" width="21.140625" style="118" customWidth="1"/>
    <col min="5331" max="5331" width="23.42578125" style="118" customWidth="1"/>
    <col min="5332" max="5332" width="27.7109375" style="118" customWidth="1"/>
    <col min="5333" max="5334" width="0" style="118" hidden="1" customWidth="1"/>
    <col min="5335" max="5335" width="43.42578125" style="118" customWidth="1"/>
    <col min="5336" max="5336" width="55.85546875" style="118" customWidth="1"/>
    <col min="5337" max="5337" width="47.85546875" style="118" customWidth="1"/>
    <col min="5338" max="5427" width="9" style="118"/>
    <col min="5428" max="5428" width="11.5703125" style="118" customWidth="1"/>
    <col min="5429" max="5431" width="0" style="118" hidden="1" customWidth="1"/>
    <col min="5432" max="5432" width="69.5703125" style="118" customWidth="1"/>
    <col min="5433" max="5433" width="17" style="118" customWidth="1"/>
    <col min="5434" max="5441" width="0" style="118" hidden="1" customWidth="1"/>
    <col min="5442" max="5442" width="32.28515625" style="118" customWidth="1"/>
    <col min="5443" max="5443" width="31.85546875" style="118" customWidth="1"/>
    <col min="5444" max="5444" width="26.85546875" style="118" customWidth="1"/>
    <col min="5445" max="5445" width="27.42578125" style="118" customWidth="1"/>
    <col min="5446" max="5446" width="28.5703125" style="118" customWidth="1"/>
    <col min="5447" max="5531" width="0" style="118" hidden="1" customWidth="1"/>
    <col min="5532" max="5533" width="25" style="118" customWidth="1"/>
    <col min="5534" max="5534" width="27.85546875" style="118" customWidth="1"/>
    <col min="5535" max="5536" width="22.42578125" style="118" customWidth="1"/>
    <col min="5537" max="5537" width="22.7109375" style="118" customWidth="1"/>
    <col min="5538" max="5581" width="0" style="118" hidden="1" customWidth="1"/>
    <col min="5582" max="5585" width="23.42578125" style="118" customWidth="1"/>
    <col min="5586" max="5586" width="21.140625" style="118" customWidth="1"/>
    <col min="5587" max="5587" width="23.42578125" style="118" customWidth="1"/>
    <col min="5588" max="5588" width="27.7109375" style="118" customWidth="1"/>
    <col min="5589" max="5590" width="0" style="118" hidden="1" customWidth="1"/>
    <col min="5591" max="5591" width="43.42578125" style="118" customWidth="1"/>
    <col min="5592" max="5592" width="55.85546875" style="118" customWidth="1"/>
    <col min="5593" max="5593" width="47.85546875" style="118" customWidth="1"/>
    <col min="5594" max="5683" width="9" style="118"/>
    <col min="5684" max="5684" width="11.5703125" style="118" customWidth="1"/>
    <col min="5685" max="5687" width="0" style="118" hidden="1" customWidth="1"/>
    <col min="5688" max="5688" width="69.5703125" style="118" customWidth="1"/>
    <col min="5689" max="5689" width="17" style="118" customWidth="1"/>
    <col min="5690" max="5697" width="0" style="118" hidden="1" customWidth="1"/>
    <col min="5698" max="5698" width="32.28515625" style="118" customWidth="1"/>
    <col min="5699" max="5699" width="31.85546875" style="118" customWidth="1"/>
    <col min="5700" max="5700" width="26.85546875" style="118" customWidth="1"/>
    <col min="5701" max="5701" width="27.42578125" style="118" customWidth="1"/>
    <col min="5702" max="5702" width="28.5703125" style="118" customWidth="1"/>
    <col min="5703" max="5787" width="0" style="118" hidden="1" customWidth="1"/>
    <col min="5788" max="5789" width="25" style="118" customWidth="1"/>
    <col min="5790" max="5790" width="27.85546875" style="118" customWidth="1"/>
    <col min="5791" max="5792" width="22.42578125" style="118" customWidth="1"/>
    <col min="5793" max="5793" width="22.7109375" style="118" customWidth="1"/>
    <col min="5794" max="5837" width="0" style="118" hidden="1" customWidth="1"/>
    <col min="5838" max="5841" width="23.42578125" style="118" customWidth="1"/>
    <col min="5842" max="5842" width="21.140625" style="118" customWidth="1"/>
    <col min="5843" max="5843" width="23.42578125" style="118" customWidth="1"/>
    <col min="5844" max="5844" width="27.7109375" style="118" customWidth="1"/>
    <col min="5845" max="5846" width="0" style="118" hidden="1" customWidth="1"/>
    <col min="5847" max="5847" width="43.42578125" style="118" customWidth="1"/>
    <col min="5848" max="5848" width="55.85546875" style="118" customWidth="1"/>
    <col min="5849" max="5849" width="47.85546875" style="118" customWidth="1"/>
    <col min="5850" max="5939" width="9" style="118"/>
    <col min="5940" max="5940" width="11.5703125" style="118" customWidth="1"/>
    <col min="5941" max="5943" width="0" style="118" hidden="1" customWidth="1"/>
    <col min="5944" max="5944" width="69.5703125" style="118" customWidth="1"/>
    <col min="5945" max="5945" width="17" style="118" customWidth="1"/>
    <col min="5946" max="5953" width="0" style="118" hidden="1" customWidth="1"/>
    <col min="5954" max="5954" width="32.28515625" style="118" customWidth="1"/>
    <col min="5955" max="5955" width="31.85546875" style="118" customWidth="1"/>
    <col min="5956" max="5956" width="26.85546875" style="118" customWidth="1"/>
    <col min="5957" max="5957" width="27.42578125" style="118" customWidth="1"/>
    <col min="5958" max="5958" width="28.5703125" style="118" customWidth="1"/>
    <col min="5959" max="6043" width="0" style="118" hidden="1" customWidth="1"/>
    <col min="6044" max="6045" width="25" style="118" customWidth="1"/>
    <col min="6046" max="6046" width="27.85546875" style="118" customWidth="1"/>
    <col min="6047" max="6048" width="22.42578125" style="118" customWidth="1"/>
    <col min="6049" max="6049" width="22.7109375" style="118" customWidth="1"/>
    <col min="6050" max="6093" width="0" style="118" hidden="1" customWidth="1"/>
    <col min="6094" max="6097" width="23.42578125" style="118" customWidth="1"/>
    <col min="6098" max="6098" width="21.140625" style="118" customWidth="1"/>
    <col min="6099" max="6099" width="23.42578125" style="118" customWidth="1"/>
    <col min="6100" max="6100" width="27.7109375" style="118" customWidth="1"/>
    <col min="6101" max="6102" width="0" style="118" hidden="1" customWidth="1"/>
    <col min="6103" max="6103" width="43.42578125" style="118" customWidth="1"/>
    <col min="6104" max="6104" width="55.85546875" style="118" customWidth="1"/>
    <col min="6105" max="6105" width="47.85546875" style="118" customWidth="1"/>
    <col min="6106" max="6195" width="9" style="118"/>
    <col min="6196" max="6196" width="11.5703125" style="118" customWidth="1"/>
    <col min="6197" max="6199" width="0" style="118" hidden="1" customWidth="1"/>
    <col min="6200" max="6200" width="69.5703125" style="118" customWidth="1"/>
    <col min="6201" max="6201" width="17" style="118" customWidth="1"/>
    <col min="6202" max="6209" width="0" style="118" hidden="1" customWidth="1"/>
    <col min="6210" max="6210" width="32.28515625" style="118" customWidth="1"/>
    <col min="6211" max="6211" width="31.85546875" style="118" customWidth="1"/>
    <col min="6212" max="6212" width="26.85546875" style="118" customWidth="1"/>
    <col min="6213" max="6213" width="27.42578125" style="118" customWidth="1"/>
    <col min="6214" max="6214" width="28.5703125" style="118" customWidth="1"/>
    <col min="6215" max="6299" width="0" style="118" hidden="1" customWidth="1"/>
    <col min="6300" max="6301" width="25" style="118" customWidth="1"/>
    <col min="6302" max="6302" width="27.85546875" style="118" customWidth="1"/>
    <col min="6303" max="6304" width="22.42578125" style="118" customWidth="1"/>
    <col min="6305" max="6305" width="22.7109375" style="118" customWidth="1"/>
    <col min="6306" max="6349" width="0" style="118" hidden="1" customWidth="1"/>
    <col min="6350" max="6353" width="23.42578125" style="118" customWidth="1"/>
    <col min="6354" max="6354" width="21.140625" style="118" customWidth="1"/>
    <col min="6355" max="6355" width="23.42578125" style="118" customWidth="1"/>
    <col min="6356" max="6356" width="27.7109375" style="118" customWidth="1"/>
    <col min="6357" max="6358" width="0" style="118" hidden="1" customWidth="1"/>
    <col min="6359" max="6359" width="43.42578125" style="118" customWidth="1"/>
    <col min="6360" max="6360" width="55.85546875" style="118" customWidth="1"/>
    <col min="6361" max="6361" width="47.85546875" style="118" customWidth="1"/>
    <col min="6362" max="6451" width="9" style="118"/>
    <col min="6452" max="6452" width="11.5703125" style="118" customWidth="1"/>
    <col min="6453" max="6455" width="0" style="118" hidden="1" customWidth="1"/>
    <col min="6456" max="6456" width="69.5703125" style="118" customWidth="1"/>
    <col min="6457" max="6457" width="17" style="118" customWidth="1"/>
    <col min="6458" max="6465" width="0" style="118" hidden="1" customWidth="1"/>
    <col min="6466" max="6466" width="32.28515625" style="118" customWidth="1"/>
    <col min="6467" max="6467" width="31.85546875" style="118" customWidth="1"/>
    <col min="6468" max="6468" width="26.85546875" style="118" customWidth="1"/>
    <col min="6469" max="6469" width="27.42578125" style="118" customWidth="1"/>
    <col min="6470" max="6470" width="28.5703125" style="118" customWidth="1"/>
    <col min="6471" max="6555" width="0" style="118" hidden="1" customWidth="1"/>
    <col min="6556" max="6557" width="25" style="118" customWidth="1"/>
    <col min="6558" max="6558" width="27.85546875" style="118" customWidth="1"/>
    <col min="6559" max="6560" width="22.42578125" style="118" customWidth="1"/>
    <col min="6561" max="6561" width="22.7109375" style="118" customWidth="1"/>
    <col min="6562" max="6605" width="0" style="118" hidden="1" customWidth="1"/>
    <col min="6606" max="6609" width="23.42578125" style="118" customWidth="1"/>
    <col min="6610" max="6610" width="21.140625" style="118" customWidth="1"/>
    <col min="6611" max="6611" width="23.42578125" style="118" customWidth="1"/>
    <col min="6612" max="6612" width="27.7109375" style="118" customWidth="1"/>
    <col min="6613" max="6614" width="0" style="118" hidden="1" customWidth="1"/>
    <col min="6615" max="6615" width="43.42578125" style="118" customWidth="1"/>
    <col min="6616" max="6616" width="55.85546875" style="118" customWidth="1"/>
    <col min="6617" max="6617" width="47.85546875" style="118" customWidth="1"/>
    <col min="6618" max="6707" width="9" style="118"/>
    <col min="6708" max="6708" width="11.5703125" style="118" customWidth="1"/>
    <col min="6709" max="6711" width="0" style="118" hidden="1" customWidth="1"/>
    <col min="6712" max="6712" width="69.5703125" style="118" customWidth="1"/>
    <col min="6713" max="6713" width="17" style="118" customWidth="1"/>
    <col min="6714" max="6721" width="0" style="118" hidden="1" customWidth="1"/>
    <col min="6722" max="6722" width="32.28515625" style="118" customWidth="1"/>
    <col min="6723" max="6723" width="31.85546875" style="118" customWidth="1"/>
    <col min="6724" max="6724" width="26.85546875" style="118" customWidth="1"/>
    <col min="6725" max="6725" width="27.42578125" style="118" customWidth="1"/>
    <col min="6726" max="6726" width="28.5703125" style="118" customWidth="1"/>
    <col min="6727" max="6811" width="0" style="118" hidden="1" customWidth="1"/>
    <col min="6812" max="6813" width="25" style="118" customWidth="1"/>
    <col min="6814" max="6814" width="27.85546875" style="118" customWidth="1"/>
    <col min="6815" max="6816" width="22.42578125" style="118" customWidth="1"/>
    <col min="6817" max="6817" width="22.7109375" style="118" customWidth="1"/>
    <col min="6818" max="6861" width="0" style="118" hidden="1" customWidth="1"/>
    <col min="6862" max="6865" width="23.42578125" style="118" customWidth="1"/>
    <col min="6866" max="6866" width="21.140625" style="118" customWidth="1"/>
    <col min="6867" max="6867" width="23.42578125" style="118" customWidth="1"/>
    <col min="6868" max="6868" width="27.7109375" style="118" customWidth="1"/>
    <col min="6869" max="6870" width="0" style="118" hidden="1" customWidth="1"/>
    <col min="6871" max="6871" width="43.42578125" style="118" customWidth="1"/>
    <col min="6872" max="6872" width="55.85546875" style="118" customWidth="1"/>
    <col min="6873" max="6873" width="47.85546875" style="118" customWidth="1"/>
    <col min="6874" max="6963" width="9" style="118"/>
    <col min="6964" max="6964" width="11.5703125" style="118" customWidth="1"/>
    <col min="6965" max="6967" width="0" style="118" hidden="1" customWidth="1"/>
    <col min="6968" max="6968" width="69.5703125" style="118" customWidth="1"/>
    <col min="6969" max="6969" width="17" style="118" customWidth="1"/>
    <col min="6970" max="6977" width="0" style="118" hidden="1" customWidth="1"/>
    <col min="6978" max="6978" width="32.28515625" style="118" customWidth="1"/>
    <col min="6979" max="6979" width="31.85546875" style="118" customWidth="1"/>
    <col min="6980" max="6980" width="26.85546875" style="118" customWidth="1"/>
    <col min="6981" max="6981" width="27.42578125" style="118" customWidth="1"/>
    <col min="6982" max="6982" width="28.5703125" style="118" customWidth="1"/>
    <col min="6983" max="7067" width="0" style="118" hidden="1" customWidth="1"/>
    <col min="7068" max="7069" width="25" style="118" customWidth="1"/>
    <col min="7070" max="7070" width="27.85546875" style="118" customWidth="1"/>
    <col min="7071" max="7072" width="22.42578125" style="118" customWidth="1"/>
    <col min="7073" max="7073" width="22.7109375" style="118" customWidth="1"/>
    <col min="7074" max="7117" width="0" style="118" hidden="1" customWidth="1"/>
    <col min="7118" max="7121" width="23.42578125" style="118" customWidth="1"/>
    <col min="7122" max="7122" width="21.140625" style="118" customWidth="1"/>
    <col min="7123" max="7123" width="23.42578125" style="118" customWidth="1"/>
    <col min="7124" max="7124" width="27.7109375" style="118" customWidth="1"/>
    <col min="7125" max="7126" width="0" style="118" hidden="1" customWidth="1"/>
    <col min="7127" max="7127" width="43.42578125" style="118" customWidth="1"/>
    <col min="7128" max="7128" width="55.85546875" style="118" customWidth="1"/>
    <col min="7129" max="7129" width="47.85546875" style="118" customWidth="1"/>
    <col min="7130" max="7219" width="9" style="118"/>
    <col min="7220" max="7220" width="11.5703125" style="118" customWidth="1"/>
    <col min="7221" max="7223" width="0" style="118" hidden="1" customWidth="1"/>
    <col min="7224" max="7224" width="69.5703125" style="118" customWidth="1"/>
    <col min="7225" max="7225" width="17" style="118" customWidth="1"/>
    <col min="7226" max="7233" width="0" style="118" hidden="1" customWidth="1"/>
    <col min="7234" max="7234" width="32.28515625" style="118" customWidth="1"/>
    <col min="7235" max="7235" width="31.85546875" style="118" customWidth="1"/>
    <col min="7236" max="7236" width="26.85546875" style="118" customWidth="1"/>
    <col min="7237" max="7237" width="27.42578125" style="118" customWidth="1"/>
    <col min="7238" max="7238" width="28.5703125" style="118" customWidth="1"/>
    <col min="7239" max="7323" width="0" style="118" hidden="1" customWidth="1"/>
    <col min="7324" max="7325" width="25" style="118" customWidth="1"/>
    <col min="7326" max="7326" width="27.85546875" style="118" customWidth="1"/>
    <col min="7327" max="7328" width="22.42578125" style="118" customWidth="1"/>
    <col min="7329" max="7329" width="22.7109375" style="118" customWidth="1"/>
    <col min="7330" max="7373" width="0" style="118" hidden="1" customWidth="1"/>
    <col min="7374" max="7377" width="23.42578125" style="118" customWidth="1"/>
    <col min="7378" max="7378" width="21.140625" style="118" customWidth="1"/>
    <col min="7379" max="7379" width="23.42578125" style="118" customWidth="1"/>
    <col min="7380" max="7380" width="27.7109375" style="118" customWidth="1"/>
    <col min="7381" max="7382" width="0" style="118" hidden="1" customWidth="1"/>
    <col min="7383" max="7383" width="43.42578125" style="118" customWidth="1"/>
    <col min="7384" max="7384" width="55.85546875" style="118" customWidth="1"/>
    <col min="7385" max="7385" width="47.85546875" style="118" customWidth="1"/>
    <col min="7386" max="7475" width="9" style="118"/>
    <col min="7476" max="7476" width="11.5703125" style="118" customWidth="1"/>
    <col min="7477" max="7479" width="0" style="118" hidden="1" customWidth="1"/>
    <col min="7480" max="7480" width="69.5703125" style="118" customWidth="1"/>
    <col min="7481" max="7481" width="17" style="118" customWidth="1"/>
    <col min="7482" max="7489" width="0" style="118" hidden="1" customWidth="1"/>
    <col min="7490" max="7490" width="32.28515625" style="118" customWidth="1"/>
    <col min="7491" max="7491" width="31.85546875" style="118" customWidth="1"/>
    <col min="7492" max="7492" width="26.85546875" style="118" customWidth="1"/>
    <col min="7493" max="7493" width="27.42578125" style="118" customWidth="1"/>
    <col min="7494" max="7494" width="28.5703125" style="118" customWidth="1"/>
    <col min="7495" max="7579" width="0" style="118" hidden="1" customWidth="1"/>
    <col min="7580" max="7581" width="25" style="118" customWidth="1"/>
    <col min="7582" max="7582" width="27.85546875" style="118" customWidth="1"/>
    <col min="7583" max="7584" width="22.42578125" style="118" customWidth="1"/>
    <col min="7585" max="7585" width="22.7109375" style="118" customWidth="1"/>
    <col min="7586" max="7629" width="0" style="118" hidden="1" customWidth="1"/>
    <col min="7630" max="7633" width="23.42578125" style="118" customWidth="1"/>
    <col min="7634" max="7634" width="21.140625" style="118" customWidth="1"/>
    <col min="7635" max="7635" width="23.42578125" style="118" customWidth="1"/>
    <col min="7636" max="7636" width="27.7109375" style="118" customWidth="1"/>
    <col min="7637" max="7638" width="0" style="118" hidden="1" customWidth="1"/>
    <col min="7639" max="7639" width="43.42578125" style="118" customWidth="1"/>
    <col min="7640" max="7640" width="55.85546875" style="118" customWidth="1"/>
    <col min="7641" max="7641" width="47.85546875" style="118" customWidth="1"/>
    <col min="7642" max="7731" width="9" style="118"/>
    <col min="7732" max="7732" width="11.5703125" style="118" customWidth="1"/>
    <col min="7733" max="7735" width="0" style="118" hidden="1" customWidth="1"/>
    <col min="7736" max="7736" width="69.5703125" style="118" customWidth="1"/>
    <col min="7737" max="7737" width="17" style="118" customWidth="1"/>
    <col min="7738" max="7745" width="0" style="118" hidden="1" customWidth="1"/>
    <col min="7746" max="7746" width="32.28515625" style="118" customWidth="1"/>
    <col min="7747" max="7747" width="31.85546875" style="118" customWidth="1"/>
    <col min="7748" max="7748" width="26.85546875" style="118" customWidth="1"/>
    <col min="7749" max="7749" width="27.42578125" style="118" customWidth="1"/>
    <col min="7750" max="7750" width="28.5703125" style="118" customWidth="1"/>
    <col min="7751" max="7835" width="0" style="118" hidden="1" customWidth="1"/>
    <col min="7836" max="7837" width="25" style="118" customWidth="1"/>
    <col min="7838" max="7838" width="27.85546875" style="118" customWidth="1"/>
    <col min="7839" max="7840" width="22.42578125" style="118" customWidth="1"/>
    <col min="7841" max="7841" width="22.7109375" style="118" customWidth="1"/>
    <col min="7842" max="7885" width="0" style="118" hidden="1" customWidth="1"/>
    <col min="7886" max="7889" width="23.42578125" style="118" customWidth="1"/>
    <col min="7890" max="7890" width="21.140625" style="118" customWidth="1"/>
    <col min="7891" max="7891" width="23.42578125" style="118" customWidth="1"/>
    <col min="7892" max="7892" width="27.7109375" style="118" customWidth="1"/>
    <col min="7893" max="7894" width="0" style="118" hidden="1" customWidth="1"/>
    <col min="7895" max="7895" width="43.42578125" style="118" customWidth="1"/>
    <col min="7896" max="7896" width="55.85546875" style="118" customWidth="1"/>
    <col min="7897" max="7897" width="47.85546875" style="118" customWidth="1"/>
    <col min="7898" max="7987" width="9" style="118"/>
    <col min="7988" max="7988" width="11.5703125" style="118" customWidth="1"/>
    <col min="7989" max="7991" width="0" style="118" hidden="1" customWidth="1"/>
    <col min="7992" max="7992" width="69.5703125" style="118" customWidth="1"/>
    <col min="7993" max="7993" width="17" style="118" customWidth="1"/>
    <col min="7994" max="8001" width="0" style="118" hidden="1" customWidth="1"/>
    <col min="8002" max="8002" width="32.28515625" style="118" customWidth="1"/>
    <col min="8003" max="8003" width="31.85546875" style="118" customWidth="1"/>
    <col min="8004" max="8004" width="26.85546875" style="118" customWidth="1"/>
    <col min="8005" max="8005" width="27.42578125" style="118" customWidth="1"/>
    <col min="8006" max="8006" width="28.5703125" style="118" customWidth="1"/>
    <col min="8007" max="8091" width="0" style="118" hidden="1" customWidth="1"/>
    <col min="8092" max="8093" width="25" style="118" customWidth="1"/>
    <col min="8094" max="8094" width="27.85546875" style="118" customWidth="1"/>
    <col min="8095" max="8096" width="22.42578125" style="118" customWidth="1"/>
    <col min="8097" max="8097" width="22.7109375" style="118" customWidth="1"/>
    <col min="8098" max="8141" width="0" style="118" hidden="1" customWidth="1"/>
    <col min="8142" max="8145" width="23.42578125" style="118" customWidth="1"/>
    <col min="8146" max="8146" width="21.140625" style="118" customWidth="1"/>
    <col min="8147" max="8147" width="23.42578125" style="118" customWidth="1"/>
    <col min="8148" max="8148" width="27.7109375" style="118" customWidth="1"/>
    <col min="8149" max="8150" width="0" style="118" hidden="1" customWidth="1"/>
    <col min="8151" max="8151" width="43.42578125" style="118" customWidth="1"/>
    <col min="8152" max="8152" width="55.85546875" style="118" customWidth="1"/>
    <col min="8153" max="8153" width="47.85546875" style="118" customWidth="1"/>
    <col min="8154" max="8243" width="9" style="118"/>
    <col min="8244" max="8244" width="11.5703125" style="118" customWidth="1"/>
    <col min="8245" max="8247" width="0" style="118" hidden="1" customWidth="1"/>
    <col min="8248" max="8248" width="69.5703125" style="118" customWidth="1"/>
    <col min="8249" max="8249" width="17" style="118" customWidth="1"/>
    <col min="8250" max="8257" width="0" style="118" hidden="1" customWidth="1"/>
    <col min="8258" max="8258" width="32.28515625" style="118" customWidth="1"/>
    <col min="8259" max="8259" width="31.85546875" style="118" customWidth="1"/>
    <col min="8260" max="8260" width="26.85546875" style="118" customWidth="1"/>
    <col min="8261" max="8261" width="27.42578125" style="118" customWidth="1"/>
    <col min="8262" max="8262" width="28.5703125" style="118" customWidth="1"/>
    <col min="8263" max="8347" width="0" style="118" hidden="1" customWidth="1"/>
    <col min="8348" max="8349" width="25" style="118" customWidth="1"/>
    <col min="8350" max="8350" width="27.85546875" style="118" customWidth="1"/>
    <col min="8351" max="8352" width="22.42578125" style="118" customWidth="1"/>
    <col min="8353" max="8353" width="22.7109375" style="118" customWidth="1"/>
    <col min="8354" max="8397" width="0" style="118" hidden="1" customWidth="1"/>
    <col min="8398" max="8401" width="23.42578125" style="118" customWidth="1"/>
    <col min="8402" max="8402" width="21.140625" style="118" customWidth="1"/>
    <col min="8403" max="8403" width="23.42578125" style="118" customWidth="1"/>
    <col min="8404" max="8404" width="27.7109375" style="118" customWidth="1"/>
    <col min="8405" max="8406" width="0" style="118" hidden="1" customWidth="1"/>
    <col min="8407" max="8407" width="43.42578125" style="118" customWidth="1"/>
    <col min="8408" max="8408" width="55.85546875" style="118" customWidth="1"/>
    <col min="8409" max="8409" width="47.85546875" style="118" customWidth="1"/>
    <col min="8410" max="8499" width="9" style="118"/>
    <col min="8500" max="8500" width="11.5703125" style="118" customWidth="1"/>
    <col min="8501" max="8503" width="0" style="118" hidden="1" customWidth="1"/>
    <col min="8504" max="8504" width="69.5703125" style="118" customWidth="1"/>
    <col min="8505" max="8505" width="17" style="118" customWidth="1"/>
    <col min="8506" max="8513" width="0" style="118" hidden="1" customWidth="1"/>
    <col min="8514" max="8514" width="32.28515625" style="118" customWidth="1"/>
    <col min="8515" max="8515" width="31.85546875" style="118" customWidth="1"/>
    <col min="8516" max="8516" width="26.85546875" style="118" customWidth="1"/>
    <col min="8517" max="8517" width="27.42578125" style="118" customWidth="1"/>
    <col min="8518" max="8518" width="28.5703125" style="118" customWidth="1"/>
    <col min="8519" max="8603" width="0" style="118" hidden="1" customWidth="1"/>
    <col min="8604" max="8605" width="25" style="118" customWidth="1"/>
    <col min="8606" max="8606" width="27.85546875" style="118" customWidth="1"/>
    <col min="8607" max="8608" width="22.42578125" style="118" customWidth="1"/>
    <col min="8609" max="8609" width="22.7109375" style="118" customWidth="1"/>
    <col min="8610" max="8653" width="0" style="118" hidden="1" customWidth="1"/>
    <col min="8654" max="8657" width="23.42578125" style="118" customWidth="1"/>
    <col min="8658" max="8658" width="21.140625" style="118" customWidth="1"/>
    <col min="8659" max="8659" width="23.42578125" style="118" customWidth="1"/>
    <col min="8660" max="8660" width="27.7109375" style="118" customWidth="1"/>
    <col min="8661" max="8662" width="0" style="118" hidden="1" customWidth="1"/>
    <col min="8663" max="8663" width="43.42578125" style="118" customWidth="1"/>
    <col min="8664" max="8664" width="55.85546875" style="118" customWidth="1"/>
    <col min="8665" max="8665" width="47.85546875" style="118" customWidth="1"/>
    <col min="8666" max="8755" width="9" style="118"/>
    <col min="8756" max="8756" width="11.5703125" style="118" customWidth="1"/>
    <col min="8757" max="8759" width="0" style="118" hidden="1" customWidth="1"/>
    <col min="8760" max="8760" width="69.5703125" style="118" customWidth="1"/>
    <col min="8761" max="8761" width="17" style="118" customWidth="1"/>
    <col min="8762" max="8769" width="0" style="118" hidden="1" customWidth="1"/>
    <col min="8770" max="8770" width="32.28515625" style="118" customWidth="1"/>
    <col min="8771" max="8771" width="31.85546875" style="118" customWidth="1"/>
    <col min="8772" max="8772" width="26.85546875" style="118" customWidth="1"/>
    <col min="8773" max="8773" width="27.42578125" style="118" customWidth="1"/>
    <col min="8774" max="8774" width="28.5703125" style="118" customWidth="1"/>
    <col min="8775" max="8859" width="0" style="118" hidden="1" customWidth="1"/>
    <col min="8860" max="8861" width="25" style="118" customWidth="1"/>
    <col min="8862" max="8862" width="27.85546875" style="118" customWidth="1"/>
    <col min="8863" max="8864" width="22.42578125" style="118" customWidth="1"/>
    <col min="8865" max="8865" width="22.7109375" style="118" customWidth="1"/>
    <col min="8866" max="8909" width="0" style="118" hidden="1" customWidth="1"/>
    <col min="8910" max="8913" width="23.42578125" style="118" customWidth="1"/>
    <col min="8914" max="8914" width="21.140625" style="118" customWidth="1"/>
    <col min="8915" max="8915" width="23.42578125" style="118" customWidth="1"/>
    <col min="8916" max="8916" width="27.7109375" style="118" customWidth="1"/>
    <col min="8917" max="8918" width="0" style="118" hidden="1" customWidth="1"/>
    <col min="8919" max="8919" width="43.42578125" style="118" customWidth="1"/>
    <col min="8920" max="8920" width="55.85546875" style="118" customWidth="1"/>
    <col min="8921" max="8921" width="47.85546875" style="118" customWidth="1"/>
    <col min="8922" max="9011" width="9" style="118"/>
    <col min="9012" max="9012" width="11.5703125" style="118" customWidth="1"/>
    <col min="9013" max="9015" width="0" style="118" hidden="1" customWidth="1"/>
    <col min="9016" max="9016" width="69.5703125" style="118" customWidth="1"/>
    <col min="9017" max="9017" width="17" style="118" customWidth="1"/>
    <col min="9018" max="9025" width="0" style="118" hidden="1" customWidth="1"/>
    <col min="9026" max="9026" width="32.28515625" style="118" customWidth="1"/>
    <col min="9027" max="9027" width="31.85546875" style="118" customWidth="1"/>
    <col min="9028" max="9028" width="26.85546875" style="118" customWidth="1"/>
    <col min="9029" max="9029" width="27.42578125" style="118" customWidth="1"/>
    <col min="9030" max="9030" width="28.5703125" style="118" customWidth="1"/>
    <col min="9031" max="9115" width="0" style="118" hidden="1" customWidth="1"/>
    <col min="9116" max="9117" width="25" style="118" customWidth="1"/>
    <col min="9118" max="9118" width="27.85546875" style="118" customWidth="1"/>
    <col min="9119" max="9120" width="22.42578125" style="118" customWidth="1"/>
    <col min="9121" max="9121" width="22.7109375" style="118" customWidth="1"/>
    <col min="9122" max="9165" width="0" style="118" hidden="1" customWidth="1"/>
    <col min="9166" max="9169" width="23.42578125" style="118" customWidth="1"/>
    <col min="9170" max="9170" width="21.140625" style="118" customWidth="1"/>
    <col min="9171" max="9171" width="23.42578125" style="118" customWidth="1"/>
    <col min="9172" max="9172" width="27.7109375" style="118" customWidth="1"/>
    <col min="9173" max="9174" width="0" style="118" hidden="1" customWidth="1"/>
    <col min="9175" max="9175" width="43.42578125" style="118" customWidth="1"/>
    <col min="9176" max="9176" width="55.85546875" style="118" customWidth="1"/>
    <col min="9177" max="9177" width="47.85546875" style="118" customWidth="1"/>
    <col min="9178" max="9267" width="9" style="118"/>
    <col min="9268" max="9268" width="11.5703125" style="118" customWidth="1"/>
    <col min="9269" max="9271" width="0" style="118" hidden="1" customWidth="1"/>
    <col min="9272" max="9272" width="69.5703125" style="118" customWidth="1"/>
    <col min="9273" max="9273" width="17" style="118" customWidth="1"/>
    <col min="9274" max="9281" width="0" style="118" hidden="1" customWidth="1"/>
    <col min="9282" max="9282" width="32.28515625" style="118" customWidth="1"/>
    <col min="9283" max="9283" width="31.85546875" style="118" customWidth="1"/>
    <col min="9284" max="9284" width="26.85546875" style="118" customWidth="1"/>
    <col min="9285" max="9285" width="27.42578125" style="118" customWidth="1"/>
    <col min="9286" max="9286" width="28.5703125" style="118" customWidth="1"/>
    <col min="9287" max="9371" width="0" style="118" hidden="1" customWidth="1"/>
    <col min="9372" max="9373" width="25" style="118" customWidth="1"/>
    <col min="9374" max="9374" width="27.85546875" style="118" customWidth="1"/>
    <col min="9375" max="9376" width="22.42578125" style="118" customWidth="1"/>
    <col min="9377" max="9377" width="22.7109375" style="118" customWidth="1"/>
    <col min="9378" max="9421" width="0" style="118" hidden="1" customWidth="1"/>
    <col min="9422" max="9425" width="23.42578125" style="118" customWidth="1"/>
    <col min="9426" max="9426" width="21.140625" style="118" customWidth="1"/>
    <col min="9427" max="9427" width="23.42578125" style="118" customWidth="1"/>
    <col min="9428" max="9428" width="27.7109375" style="118" customWidth="1"/>
    <col min="9429" max="9430" width="0" style="118" hidden="1" customWidth="1"/>
    <col min="9431" max="9431" width="43.42578125" style="118" customWidth="1"/>
    <col min="9432" max="9432" width="55.85546875" style="118" customWidth="1"/>
    <col min="9433" max="9433" width="47.85546875" style="118" customWidth="1"/>
    <col min="9434" max="9523" width="9" style="118"/>
    <col min="9524" max="9524" width="11.5703125" style="118" customWidth="1"/>
    <col min="9525" max="9527" width="0" style="118" hidden="1" customWidth="1"/>
    <col min="9528" max="9528" width="69.5703125" style="118" customWidth="1"/>
    <col min="9529" max="9529" width="17" style="118" customWidth="1"/>
    <col min="9530" max="9537" width="0" style="118" hidden="1" customWidth="1"/>
    <col min="9538" max="9538" width="32.28515625" style="118" customWidth="1"/>
    <col min="9539" max="9539" width="31.85546875" style="118" customWidth="1"/>
    <col min="9540" max="9540" width="26.85546875" style="118" customWidth="1"/>
    <col min="9541" max="9541" width="27.42578125" style="118" customWidth="1"/>
    <col min="9542" max="9542" width="28.5703125" style="118" customWidth="1"/>
    <col min="9543" max="9627" width="0" style="118" hidden="1" customWidth="1"/>
    <col min="9628" max="9629" width="25" style="118" customWidth="1"/>
    <col min="9630" max="9630" width="27.85546875" style="118" customWidth="1"/>
    <col min="9631" max="9632" width="22.42578125" style="118" customWidth="1"/>
    <col min="9633" max="9633" width="22.7109375" style="118" customWidth="1"/>
    <col min="9634" max="9677" width="0" style="118" hidden="1" customWidth="1"/>
    <col min="9678" max="9681" width="23.42578125" style="118" customWidth="1"/>
    <col min="9682" max="9682" width="21.140625" style="118" customWidth="1"/>
    <col min="9683" max="9683" width="23.42578125" style="118" customWidth="1"/>
    <col min="9684" max="9684" width="27.7109375" style="118" customWidth="1"/>
    <col min="9685" max="9686" width="0" style="118" hidden="1" customWidth="1"/>
    <col min="9687" max="9687" width="43.42578125" style="118" customWidth="1"/>
    <col min="9688" max="9688" width="55.85546875" style="118" customWidth="1"/>
    <col min="9689" max="9689" width="47.85546875" style="118" customWidth="1"/>
    <col min="9690" max="9779" width="9" style="118"/>
    <col min="9780" max="9780" width="11.5703125" style="118" customWidth="1"/>
    <col min="9781" max="9783" width="0" style="118" hidden="1" customWidth="1"/>
    <col min="9784" max="9784" width="69.5703125" style="118" customWidth="1"/>
    <col min="9785" max="9785" width="17" style="118" customWidth="1"/>
    <col min="9786" max="9793" width="0" style="118" hidden="1" customWidth="1"/>
    <col min="9794" max="9794" width="32.28515625" style="118" customWidth="1"/>
    <col min="9795" max="9795" width="31.85546875" style="118" customWidth="1"/>
    <col min="9796" max="9796" width="26.85546875" style="118" customWidth="1"/>
    <col min="9797" max="9797" width="27.42578125" style="118" customWidth="1"/>
    <col min="9798" max="9798" width="28.5703125" style="118" customWidth="1"/>
    <col min="9799" max="9883" width="0" style="118" hidden="1" customWidth="1"/>
    <col min="9884" max="9885" width="25" style="118" customWidth="1"/>
    <col min="9886" max="9886" width="27.85546875" style="118" customWidth="1"/>
    <col min="9887" max="9888" width="22.42578125" style="118" customWidth="1"/>
    <col min="9889" max="9889" width="22.7109375" style="118" customWidth="1"/>
    <col min="9890" max="9933" width="0" style="118" hidden="1" customWidth="1"/>
    <col min="9934" max="9937" width="23.42578125" style="118" customWidth="1"/>
    <col min="9938" max="9938" width="21.140625" style="118" customWidth="1"/>
    <col min="9939" max="9939" width="23.42578125" style="118" customWidth="1"/>
    <col min="9940" max="9940" width="27.7109375" style="118" customWidth="1"/>
    <col min="9941" max="9942" width="0" style="118" hidden="1" customWidth="1"/>
    <col min="9943" max="9943" width="43.42578125" style="118" customWidth="1"/>
    <col min="9944" max="9944" width="55.85546875" style="118" customWidth="1"/>
    <col min="9945" max="9945" width="47.85546875" style="118" customWidth="1"/>
    <col min="9946" max="10035" width="9" style="118"/>
    <col min="10036" max="10036" width="11.5703125" style="118" customWidth="1"/>
    <col min="10037" max="10039" width="0" style="118" hidden="1" customWidth="1"/>
    <col min="10040" max="10040" width="69.5703125" style="118" customWidth="1"/>
    <col min="10041" max="10041" width="17" style="118" customWidth="1"/>
    <col min="10042" max="10049" width="0" style="118" hidden="1" customWidth="1"/>
    <col min="10050" max="10050" width="32.28515625" style="118" customWidth="1"/>
    <col min="10051" max="10051" width="31.85546875" style="118" customWidth="1"/>
    <col min="10052" max="10052" width="26.85546875" style="118" customWidth="1"/>
    <col min="10053" max="10053" width="27.42578125" style="118" customWidth="1"/>
    <col min="10054" max="10054" width="28.5703125" style="118" customWidth="1"/>
    <col min="10055" max="10139" width="0" style="118" hidden="1" customWidth="1"/>
    <col min="10140" max="10141" width="25" style="118" customWidth="1"/>
    <col min="10142" max="10142" width="27.85546875" style="118" customWidth="1"/>
    <col min="10143" max="10144" width="22.42578125" style="118" customWidth="1"/>
    <col min="10145" max="10145" width="22.7109375" style="118" customWidth="1"/>
    <col min="10146" max="10189" width="0" style="118" hidden="1" customWidth="1"/>
    <col min="10190" max="10193" width="23.42578125" style="118" customWidth="1"/>
    <col min="10194" max="10194" width="21.140625" style="118" customWidth="1"/>
    <col min="10195" max="10195" width="23.42578125" style="118" customWidth="1"/>
    <col min="10196" max="10196" width="27.7109375" style="118" customWidth="1"/>
    <col min="10197" max="10198" width="0" style="118" hidden="1" customWidth="1"/>
    <col min="10199" max="10199" width="43.42578125" style="118" customWidth="1"/>
    <col min="10200" max="10200" width="55.85546875" style="118" customWidth="1"/>
    <col min="10201" max="10201" width="47.85546875" style="118" customWidth="1"/>
    <col min="10202" max="10291" width="9" style="118"/>
    <col min="10292" max="10292" width="11.5703125" style="118" customWidth="1"/>
    <col min="10293" max="10295" width="0" style="118" hidden="1" customWidth="1"/>
    <col min="10296" max="10296" width="69.5703125" style="118" customWidth="1"/>
    <col min="10297" max="10297" width="17" style="118" customWidth="1"/>
    <col min="10298" max="10305" width="0" style="118" hidden="1" customWidth="1"/>
    <col min="10306" max="10306" width="32.28515625" style="118" customWidth="1"/>
    <col min="10307" max="10307" width="31.85546875" style="118" customWidth="1"/>
    <col min="10308" max="10308" width="26.85546875" style="118" customWidth="1"/>
    <col min="10309" max="10309" width="27.42578125" style="118" customWidth="1"/>
    <col min="10310" max="10310" width="28.5703125" style="118" customWidth="1"/>
    <col min="10311" max="10395" width="0" style="118" hidden="1" customWidth="1"/>
    <col min="10396" max="10397" width="25" style="118" customWidth="1"/>
    <col min="10398" max="10398" width="27.85546875" style="118" customWidth="1"/>
    <col min="10399" max="10400" width="22.42578125" style="118" customWidth="1"/>
    <col min="10401" max="10401" width="22.7109375" style="118" customWidth="1"/>
    <col min="10402" max="10445" width="0" style="118" hidden="1" customWidth="1"/>
    <col min="10446" max="10449" width="23.42578125" style="118" customWidth="1"/>
    <col min="10450" max="10450" width="21.140625" style="118" customWidth="1"/>
    <col min="10451" max="10451" width="23.42578125" style="118" customWidth="1"/>
    <col min="10452" max="10452" width="27.7109375" style="118" customWidth="1"/>
    <col min="10453" max="10454" width="0" style="118" hidden="1" customWidth="1"/>
    <col min="10455" max="10455" width="43.42578125" style="118" customWidth="1"/>
    <col min="10456" max="10456" width="55.85546875" style="118" customWidth="1"/>
    <col min="10457" max="10457" width="47.85546875" style="118" customWidth="1"/>
    <col min="10458" max="10547" width="9" style="118"/>
    <col min="10548" max="10548" width="11.5703125" style="118" customWidth="1"/>
    <col min="10549" max="10551" width="0" style="118" hidden="1" customWidth="1"/>
    <col min="10552" max="10552" width="69.5703125" style="118" customWidth="1"/>
    <col min="10553" max="10553" width="17" style="118" customWidth="1"/>
    <col min="10554" max="10561" width="0" style="118" hidden="1" customWidth="1"/>
    <col min="10562" max="10562" width="32.28515625" style="118" customWidth="1"/>
    <col min="10563" max="10563" width="31.85546875" style="118" customWidth="1"/>
    <col min="10564" max="10564" width="26.85546875" style="118" customWidth="1"/>
    <col min="10565" max="10565" width="27.42578125" style="118" customWidth="1"/>
    <col min="10566" max="10566" width="28.5703125" style="118" customWidth="1"/>
    <col min="10567" max="10651" width="0" style="118" hidden="1" customWidth="1"/>
    <col min="10652" max="10653" width="25" style="118" customWidth="1"/>
    <col min="10654" max="10654" width="27.85546875" style="118" customWidth="1"/>
    <col min="10655" max="10656" width="22.42578125" style="118" customWidth="1"/>
    <col min="10657" max="10657" width="22.7109375" style="118" customWidth="1"/>
    <col min="10658" max="10701" width="0" style="118" hidden="1" customWidth="1"/>
    <col min="10702" max="10705" width="23.42578125" style="118" customWidth="1"/>
    <col min="10706" max="10706" width="21.140625" style="118" customWidth="1"/>
    <col min="10707" max="10707" width="23.42578125" style="118" customWidth="1"/>
    <col min="10708" max="10708" width="27.7109375" style="118" customWidth="1"/>
    <col min="10709" max="10710" width="0" style="118" hidden="1" customWidth="1"/>
    <col min="10711" max="10711" width="43.42578125" style="118" customWidth="1"/>
    <col min="10712" max="10712" width="55.85546875" style="118" customWidth="1"/>
    <col min="10713" max="10713" width="47.85546875" style="118" customWidth="1"/>
    <col min="10714" max="10803" width="9" style="118"/>
    <col min="10804" max="10804" width="11.5703125" style="118" customWidth="1"/>
    <col min="10805" max="10807" width="0" style="118" hidden="1" customWidth="1"/>
    <col min="10808" max="10808" width="69.5703125" style="118" customWidth="1"/>
    <col min="10809" max="10809" width="17" style="118" customWidth="1"/>
    <col min="10810" max="10817" width="0" style="118" hidden="1" customWidth="1"/>
    <col min="10818" max="10818" width="32.28515625" style="118" customWidth="1"/>
    <col min="10819" max="10819" width="31.85546875" style="118" customWidth="1"/>
    <col min="10820" max="10820" width="26.85546875" style="118" customWidth="1"/>
    <col min="10821" max="10821" width="27.42578125" style="118" customWidth="1"/>
    <col min="10822" max="10822" width="28.5703125" style="118" customWidth="1"/>
    <col min="10823" max="10907" width="0" style="118" hidden="1" customWidth="1"/>
    <col min="10908" max="10909" width="25" style="118" customWidth="1"/>
    <col min="10910" max="10910" width="27.85546875" style="118" customWidth="1"/>
    <col min="10911" max="10912" width="22.42578125" style="118" customWidth="1"/>
    <col min="10913" max="10913" width="22.7109375" style="118" customWidth="1"/>
    <col min="10914" max="10957" width="0" style="118" hidden="1" customWidth="1"/>
    <col min="10958" max="10961" width="23.42578125" style="118" customWidth="1"/>
    <col min="10962" max="10962" width="21.140625" style="118" customWidth="1"/>
    <col min="10963" max="10963" width="23.42578125" style="118" customWidth="1"/>
    <col min="10964" max="10964" width="27.7109375" style="118" customWidth="1"/>
    <col min="10965" max="10966" width="0" style="118" hidden="1" customWidth="1"/>
    <col min="10967" max="10967" width="43.42578125" style="118" customWidth="1"/>
    <col min="10968" max="10968" width="55.85546875" style="118" customWidth="1"/>
    <col min="10969" max="10969" width="47.85546875" style="118" customWidth="1"/>
    <col min="10970" max="11059" width="9" style="118"/>
    <col min="11060" max="11060" width="11.5703125" style="118" customWidth="1"/>
    <col min="11061" max="11063" width="0" style="118" hidden="1" customWidth="1"/>
    <col min="11064" max="11064" width="69.5703125" style="118" customWidth="1"/>
    <col min="11065" max="11065" width="17" style="118" customWidth="1"/>
    <col min="11066" max="11073" width="0" style="118" hidden="1" customWidth="1"/>
    <col min="11074" max="11074" width="32.28515625" style="118" customWidth="1"/>
    <col min="11075" max="11075" width="31.85546875" style="118" customWidth="1"/>
    <col min="11076" max="11076" width="26.85546875" style="118" customWidth="1"/>
    <col min="11077" max="11077" width="27.42578125" style="118" customWidth="1"/>
    <col min="11078" max="11078" width="28.5703125" style="118" customWidth="1"/>
    <col min="11079" max="11163" width="0" style="118" hidden="1" customWidth="1"/>
    <col min="11164" max="11165" width="25" style="118" customWidth="1"/>
    <col min="11166" max="11166" width="27.85546875" style="118" customWidth="1"/>
    <col min="11167" max="11168" width="22.42578125" style="118" customWidth="1"/>
    <col min="11169" max="11169" width="22.7109375" style="118" customWidth="1"/>
    <col min="11170" max="11213" width="0" style="118" hidden="1" customWidth="1"/>
    <col min="11214" max="11217" width="23.42578125" style="118" customWidth="1"/>
    <col min="11218" max="11218" width="21.140625" style="118" customWidth="1"/>
    <col min="11219" max="11219" width="23.42578125" style="118" customWidth="1"/>
    <col min="11220" max="11220" width="27.7109375" style="118" customWidth="1"/>
    <col min="11221" max="11222" width="0" style="118" hidden="1" customWidth="1"/>
    <col min="11223" max="11223" width="43.42578125" style="118" customWidth="1"/>
    <col min="11224" max="11224" width="55.85546875" style="118" customWidth="1"/>
    <col min="11225" max="11225" width="47.85546875" style="118" customWidth="1"/>
    <col min="11226" max="11315" width="9" style="118"/>
    <col min="11316" max="11316" width="11.5703125" style="118" customWidth="1"/>
    <col min="11317" max="11319" width="0" style="118" hidden="1" customWidth="1"/>
    <col min="11320" max="11320" width="69.5703125" style="118" customWidth="1"/>
    <col min="11321" max="11321" width="17" style="118" customWidth="1"/>
    <col min="11322" max="11329" width="0" style="118" hidden="1" customWidth="1"/>
    <col min="11330" max="11330" width="32.28515625" style="118" customWidth="1"/>
    <col min="11331" max="11331" width="31.85546875" style="118" customWidth="1"/>
    <col min="11332" max="11332" width="26.85546875" style="118" customWidth="1"/>
    <col min="11333" max="11333" width="27.42578125" style="118" customWidth="1"/>
    <col min="11334" max="11334" width="28.5703125" style="118" customWidth="1"/>
    <col min="11335" max="11419" width="0" style="118" hidden="1" customWidth="1"/>
    <col min="11420" max="11421" width="25" style="118" customWidth="1"/>
    <col min="11422" max="11422" width="27.85546875" style="118" customWidth="1"/>
    <col min="11423" max="11424" width="22.42578125" style="118" customWidth="1"/>
    <col min="11425" max="11425" width="22.7109375" style="118" customWidth="1"/>
    <col min="11426" max="11469" width="0" style="118" hidden="1" customWidth="1"/>
    <col min="11470" max="11473" width="23.42578125" style="118" customWidth="1"/>
    <col min="11474" max="11474" width="21.140625" style="118" customWidth="1"/>
    <col min="11475" max="11475" width="23.42578125" style="118" customWidth="1"/>
    <col min="11476" max="11476" width="27.7109375" style="118" customWidth="1"/>
    <col min="11477" max="11478" width="0" style="118" hidden="1" customWidth="1"/>
    <col min="11479" max="11479" width="43.42578125" style="118" customWidth="1"/>
    <col min="11480" max="11480" width="55.85546875" style="118" customWidth="1"/>
    <col min="11481" max="11481" width="47.85546875" style="118" customWidth="1"/>
    <col min="11482" max="11571" width="9" style="118"/>
    <col min="11572" max="11572" width="11.5703125" style="118" customWidth="1"/>
    <col min="11573" max="11575" width="0" style="118" hidden="1" customWidth="1"/>
    <col min="11576" max="11576" width="69.5703125" style="118" customWidth="1"/>
    <col min="11577" max="11577" width="17" style="118" customWidth="1"/>
    <col min="11578" max="11585" width="0" style="118" hidden="1" customWidth="1"/>
    <col min="11586" max="11586" width="32.28515625" style="118" customWidth="1"/>
    <col min="11587" max="11587" width="31.85546875" style="118" customWidth="1"/>
    <col min="11588" max="11588" width="26.85546875" style="118" customWidth="1"/>
    <col min="11589" max="11589" width="27.42578125" style="118" customWidth="1"/>
    <col min="11590" max="11590" width="28.5703125" style="118" customWidth="1"/>
    <col min="11591" max="11675" width="0" style="118" hidden="1" customWidth="1"/>
    <col min="11676" max="11677" width="25" style="118" customWidth="1"/>
    <col min="11678" max="11678" width="27.85546875" style="118" customWidth="1"/>
    <col min="11679" max="11680" width="22.42578125" style="118" customWidth="1"/>
    <col min="11681" max="11681" width="22.7109375" style="118" customWidth="1"/>
    <col min="11682" max="11725" width="0" style="118" hidden="1" customWidth="1"/>
    <col min="11726" max="11729" width="23.42578125" style="118" customWidth="1"/>
    <col min="11730" max="11730" width="21.140625" style="118" customWidth="1"/>
    <col min="11731" max="11731" width="23.42578125" style="118" customWidth="1"/>
    <col min="11732" max="11732" width="27.7109375" style="118" customWidth="1"/>
    <col min="11733" max="11734" width="0" style="118" hidden="1" customWidth="1"/>
    <col min="11735" max="11735" width="43.42578125" style="118" customWidth="1"/>
    <col min="11736" max="11736" width="55.85546875" style="118" customWidth="1"/>
    <col min="11737" max="11737" width="47.85546875" style="118" customWidth="1"/>
    <col min="11738" max="11827" width="9" style="118"/>
    <col min="11828" max="11828" width="11.5703125" style="118" customWidth="1"/>
    <col min="11829" max="11831" width="0" style="118" hidden="1" customWidth="1"/>
    <col min="11832" max="11832" width="69.5703125" style="118" customWidth="1"/>
    <col min="11833" max="11833" width="17" style="118" customWidth="1"/>
    <col min="11834" max="11841" width="0" style="118" hidden="1" customWidth="1"/>
    <col min="11842" max="11842" width="32.28515625" style="118" customWidth="1"/>
    <col min="11843" max="11843" width="31.85546875" style="118" customWidth="1"/>
    <col min="11844" max="11844" width="26.85546875" style="118" customWidth="1"/>
    <col min="11845" max="11845" width="27.42578125" style="118" customWidth="1"/>
    <col min="11846" max="11846" width="28.5703125" style="118" customWidth="1"/>
    <col min="11847" max="11931" width="0" style="118" hidden="1" customWidth="1"/>
    <col min="11932" max="11933" width="25" style="118" customWidth="1"/>
    <col min="11934" max="11934" width="27.85546875" style="118" customWidth="1"/>
    <col min="11935" max="11936" width="22.42578125" style="118" customWidth="1"/>
    <col min="11937" max="11937" width="22.7109375" style="118" customWidth="1"/>
    <col min="11938" max="11981" width="0" style="118" hidden="1" customWidth="1"/>
    <col min="11982" max="11985" width="23.42578125" style="118" customWidth="1"/>
    <col min="11986" max="11986" width="21.140625" style="118" customWidth="1"/>
    <col min="11987" max="11987" width="23.42578125" style="118" customWidth="1"/>
    <col min="11988" max="11988" width="27.7109375" style="118" customWidth="1"/>
    <col min="11989" max="11990" width="0" style="118" hidden="1" customWidth="1"/>
    <col min="11991" max="11991" width="43.42578125" style="118" customWidth="1"/>
    <col min="11992" max="11992" width="55.85546875" style="118" customWidth="1"/>
    <col min="11993" max="11993" width="47.85546875" style="118" customWidth="1"/>
    <col min="11994" max="12083" width="9" style="118"/>
    <col min="12084" max="12084" width="11.5703125" style="118" customWidth="1"/>
    <col min="12085" max="12087" width="0" style="118" hidden="1" customWidth="1"/>
    <col min="12088" max="12088" width="69.5703125" style="118" customWidth="1"/>
    <col min="12089" max="12089" width="17" style="118" customWidth="1"/>
    <col min="12090" max="12097" width="0" style="118" hidden="1" customWidth="1"/>
    <col min="12098" max="12098" width="32.28515625" style="118" customWidth="1"/>
    <col min="12099" max="12099" width="31.85546875" style="118" customWidth="1"/>
    <col min="12100" max="12100" width="26.85546875" style="118" customWidth="1"/>
    <col min="12101" max="12101" width="27.42578125" style="118" customWidth="1"/>
    <col min="12102" max="12102" width="28.5703125" style="118" customWidth="1"/>
    <col min="12103" max="12187" width="0" style="118" hidden="1" customWidth="1"/>
    <col min="12188" max="12189" width="25" style="118" customWidth="1"/>
    <col min="12190" max="12190" width="27.85546875" style="118" customWidth="1"/>
    <col min="12191" max="12192" width="22.42578125" style="118" customWidth="1"/>
    <col min="12193" max="12193" width="22.7109375" style="118" customWidth="1"/>
    <col min="12194" max="12237" width="0" style="118" hidden="1" customWidth="1"/>
    <col min="12238" max="12241" width="23.42578125" style="118" customWidth="1"/>
    <col min="12242" max="12242" width="21.140625" style="118" customWidth="1"/>
    <col min="12243" max="12243" width="23.42578125" style="118" customWidth="1"/>
    <col min="12244" max="12244" width="27.7109375" style="118" customWidth="1"/>
    <col min="12245" max="12246" width="0" style="118" hidden="1" customWidth="1"/>
    <col min="12247" max="12247" width="43.42578125" style="118" customWidth="1"/>
    <col min="12248" max="12248" width="55.85546875" style="118" customWidth="1"/>
    <col min="12249" max="12249" width="47.85546875" style="118" customWidth="1"/>
    <col min="12250" max="12339" width="9" style="118"/>
    <col min="12340" max="12340" width="11.5703125" style="118" customWidth="1"/>
    <col min="12341" max="12343" width="0" style="118" hidden="1" customWidth="1"/>
    <col min="12344" max="12344" width="69.5703125" style="118" customWidth="1"/>
    <col min="12345" max="12345" width="17" style="118" customWidth="1"/>
    <col min="12346" max="12353" width="0" style="118" hidden="1" customWidth="1"/>
    <col min="12354" max="12354" width="32.28515625" style="118" customWidth="1"/>
    <col min="12355" max="12355" width="31.85546875" style="118" customWidth="1"/>
    <col min="12356" max="12356" width="26.85546875" style="118" customWidth="1"/>
    <col min="12357" max="12357" width="27.42578125" style="118" customWidth="1"/>
    <col min="12358" max="12358" width="28.5703125" style="118" customWidth="1"/>
    <col min="12359" max="12443" width="0" style="118" hidden="1" customWidth="1"/>
    <col min="12444" max="12445" width="25" style="118" customWidth="1"/>
    <col min="12446" max="12446" width="27.85546875" style="118" customWidth="1"/>
    <col min="12447" max="12448" width="22.42578125" style="118" customWidth="1"/>
    <col min="12449" max="12449" width="22.7109375" style="118" customWidth="1"/>
    <col min="12450" max="12493" width="0" style="118" hidden="1" customWidth="1"/>
    <col min="12494" max="12497" width="23.42578125" style="118" customWidth="1"/>
    <col min="12498" max="12498" width="21.140625" style="118" customWidth="1"/>
    <col min="12499" max="12499" width="23.42578125" style="118" customWidth="1"/>
    <col min="12500" max="12500" width="27.7109375" style="118" customWidth="1"/>
    <col min="12501" max="12502" width="0" style="118" hidden="1" customWidth="1"/>
    <col min="12503" max="12503" width="43.42578125" style="118" customWidth="1"/>
    <col min="12504" max="12504" width="55.85546875" style="118" customWidth="1"/>
    <col min="12505" max="12505" width="47.85546875" style="118" customWidth="1"/>
    <col min="12506" max="12595" width="9" style="118"/>
    <col min="12596" max="12596" width="11.5703125" style="118" customWidth="1"/>
    <col min="12597" max="12599" width="0" style="118" hidden="1" customWidth="1"/>
    <col min="12600" max="12600" width="69.5703125" style="118" customWidth="1"/>
    <col min="12601" max="12601" width="17" style="118" customWidth="1"/>
    <col min="12602" max="12609" width="0" style="118" hidden="1" customWidth="1"/>
    <col min="12610" max="12610" width="32.28515625" style="118" customWidth="1"/>
    <col min="12611" max="12611" width="31.85546875" style="118" customWidth="1"/>
    <col min="12612" max="12612" width="26.85546875" style="118" customWidth="1"/>
    <col min="12613" max="12613" width="27.42578125" style="118" customWidth="1"/>
    <col min="12614" max="12614" width="28.5703125" style="118" customWidth="1"/>
    <col min="12615" max="12699" width="0" style="118" hidden="1" customWidth="1"/>
    <col min="12700" max="12701" width="25" style="118" customWidth="1"/>
    <col min="12702" max="12702" width="27.85546875" style="118" customWidth="1"/>
    <col min="12703" max="12704" width="22.42578125" style="118" customWidth="1"/>
    <col min="12705" max="12705" width="22.7109375" style="118" customWidth="1"/>
    <col min="12706" max="12749" width="0" style="118" hidden="1" customWidth="1"/>
    <col min="12750" max="12753" width="23.42578125" style="118" customWidth="1"/>
    <col min="12754" max="12754" width="21.140625" style="118" customWidth="1"/>
    <col min="12755" max="12755" width="23.42578125" style="118" customWidth="1"/>
    <col min="12756" max="12756" width="27.7109375" style="118" customWidth="1"/>
    <col min="12757" max="12758" width="0" style="118" hidden="1" customWidth="1"/>
    <col min="12759" max="12759" width="43.42578125" style="118" customWidth="1"/>
    <col min="12760" max="12760" width="55.85546875" style="118" customWidth="1"/>
    <col min="12761" max="12761" width="47.85546875" style="118" customWidth="1"/>
    <col min="12762" max="12851" width="9" style="118"/>
    <col min="12852" max="12852" width="11.5703125" style="118" customWidth="1"/>
    <col min="12853" max="12855" width="0" style="118" hidden="1" customWidth="1"/>
    <col min="12856" max="12856" width="69.5703125" style="118" customWidth="1"/>
    <col min="12857" max="12857" width="17" style="118" customWidth="1"/>
    <col min="12858" max="12865" width="0" style="118" hidden="1" customWidth="1"/>
    <col min="12866" max="12866" width="32.28515625" style="118" customWidth="1"/>
    <col min="12867" max="12867" width="31.85546875" style="118" customWidth="1"/>
    <col min="12868" max="12868" width="26.85546875" style="118" customWidth="1"/>
    <col min="12869" max="12869" width="27.42578125" style="118" customWidth="1"/>
    <col min="12870" max="12870" width="28.5703125" style="118" customWidth="1"/>
    <col min="12871" max="12955" width="0" style="118" hidden="1" customWidth="1"/>
    <col min="12956" max="12957" width="25" style="118" customWidth="1"/>
    <col min="12958" max="12958" width="27.85546875" style="118" customWidth="1"/>
    <col min="12959" max="12960" width="22.42578125" style="118" customWidth="1"/>
    <col min="12961" max="12961" width="22.7109375" style="118" customWidth="1"/>
    <col min="12962" max="13005" width="0" style="118" hidden="1" customWidth="1"/>
    <col min="13006" max="13009" width="23.42578125" style="118" customWidth="1"/>
    <col min="13010" max="13010" width="21.140625" style="118" customWidth="1"/>
    <col min="13011" max="13011" width="23.42578125" style="118" customWidth="1"/>
    <col min="13012" max="13012" width="27.7109375" style="118" customWidth="1"/>
    <col min="13013" max="13014" width="0" style="118" hidden="1" customWidth="1"/>
    <col min="13015" max="13015" width="43.42578125" style="118" customWidth="1"/>
    <col min="13016" max="13016" width="55.85546875" style="118" customWidth="1"/>
    <col min="13017" max="13017" width="47.85546875" style="118" customWidth="1"/>
    <col min="13018" max="13107" width="9" style="118"/>
    <col min="13108" max="13108" width="11.5703125" style="118" customWidth="1"/>
    <col min="13109" max="13111" width="0" style="118" hidden="1" customWidth="1"/>
    <col min="13112" max="13112" width="69.5703125" style="118" customWidth="1"/>
    <col min="13113" max="13113" width="17" style="118" customWidth="1"/>
    <col min="13114" max="13121" width="0" style="118" hidden="1" customWidth="1"/>
    <col min="13122" max="13122" width="32.28515625" style="118" customWidth="1"/>
    <col min="13123" max="13123" width="31.85546875" style="118" customWidth="1"/>
    <col min="13124" max="13124" width="26.85546875" style="118" customWidth="1"/>
    <col min="13125" max="13125" width="27.42578125" style="118" customWidth="1"/>
    <col min="13126" max="13126" width="28.5703125" style="118" customWidth="1"/>
    <col min="13127" max="13211" width="0" style="118" hidden="1" customWidth="1"/>
    <col min="13212" max="13213" width="25" style="118" customWidth="1"/>
    <col min="13214" max="13214" width="27.85546875" style="118" customWidth="1"/>
    <col min="13215" max="13216" width="22.42578125" style="118" customWidth="1"/>
    <col min="13217" max="13217" width="22.7109375" style="118" customWidth="1"/>
    <col min="13218" max="13261" width="0" style="118" hidden="1" customWidth="1"/>
    <col min="13262" max="13265" width="23.42578125" style="118" customWidth="1"/>
    <col min="13266" max="13266" width="21.140625" style="118" customWidth="1"/>
    <col min="13267" max="13267" width="23.42578125" style="118" customWidth="1"/>
    <col min="13268" max="13268" width="27.7109375" style="118" customWidth="1"/>
    <col min="13269" max="13270" width="0" style="118" hidden="1" customWidth="1"/>
    <col min="13271" max="13271" width="43.42578125" style="118" customWidth="1"/>
    <col min="13272" max="13272" width="55.85546875" style="118" customWidth="1"/>
    <col min="13273" max="13273" width="47.85546875" style="118" customWidth="1"/>
    <col min="13274" max="13363" width="9" style="118"/>
    <col min="13364" max="13364" width="11.5703125" style="118" customWidth="1"/>
    <col min="13365" max="13367" width="0" style="118" hidden="1" customWidth="1"/>
    <col min="13368" max="13368" width="69.5703125" style="118" customWidth="1"/>
    <col min="13369" max="13369" width="17" style="118" customWidth="1"/>
    <col min="13370" max="13377" width="0" style="118" hidden="1" customWidth="1"/>
    <col min="13378" max="13378" width="32.28515625" style="118" customWidth="1"/>
    <col min="13379" max="13379" width="31.85546875" style="118" customWidth="1"/>
    <col min="13380" max="13380" width="26.85546875" style="118" customWidth="1"/>
    <col min="13381" max="13381" width="27.42578125" style="118" customWidth="1"/>
    <col min="13382" max="13382" width="28.5703125" style="118" customWidth="1"/>
    <col min="13383" max="13467" width="0" style="118" hidden="1" customWidth="1"/>
    <col min="13468" max="13469" width="25" style="118" customWidth="1"/>
    <col min="13470" max="13470" width="27.85546875" style="118" customWidth="1"/>
    <col min="13471" max="13472" width="22.42578125" style="118" customWidth="1"/>
    <col min="13473" max="13473" width="22.7109375" style="118" customWidth="1"/>
    <col min="13474" max="13517" width="0" style="118" hidden="1" customWidth="1"/>
    <col min="13518" max="13521" width="23.42578125" style="118" customWidth="1"/>
    <col min="13522" max="13522" width="21.140625" style="118" customWidth="1"/>
    <col min="13523" max="13523" width="23.42578125" style="118" customWidth="1"/>
    <col min="13524" max="13524" width="27.7109375" style="118" customWidth="1"/>
    <col min="13525" max="13526" width="0" style="118" hidden="1" customWidth="1"/>
    <col min="13527" max="13527" width="43.42578125" style="118" customWidth="1"/>
    <col min="13528" max="13528" width="55.85546875" style="118" customWidth="1"/>
    <col min="13529" max="13529" width="47.85546875" style="118" customWidth="1"/>
    <col min="13530" max="13619" width="9" style="118"/>
    <col min="13620" max="13620" width="11.5703125" style="118" customWidth="1"/>
    <col min="13621" max="13623" width="0" style="118" hidden="1" customWidth="1"/>
    <col min="13624" max="13624" width="69.5703125" style="118" customWidth="1"/>
    <col min="13625" max="13625" width="17" style="118" customWidth="1"/>
    <col min="13626" max="13633" width="0" style="118" hidden="1" customWidth="1"/>
    <col min="13634" max="13634" width="32.28515625" style="118" customWidth="1"/>
    <col min="13635" max="13635" width="31.85546875" style="118" customWidth="1"/>
    <col min="13636" max="13636" width="26.85546875" style="118" customWidth="1"/>
    <col min="13637" max="13637" width="27.42578125" style="118" customWidth="1"/>
    <col min="13638" max="13638" width="28.5703125" style="118" customWidth="1"/>
    <col min="13639" max="13723" width="0" style="118" hidden="1" customWidth="1"/>
    <col min="13724" max="13725" width="25" style="118" customWidth="1"/>
    <col min="13726" max="13726" width="27.85546875" style="118" customWidth="1"/>
    <col min="13727" max="13728" width="22.42578125" style="118" customWidth="1"/>
    <col min="13729" max="13729" width="22.7109375" style="118" customWidth="1"/>
    <col min="13730" max="13773" width="0" style="118" hidden="1" customWidth="1"/>
    <col min="13774" max="13777" width="23.42578125" style="118" customWidth="1"/>
    <col min="13778" max="13778" width="21.140625" style="118" customWidth="1"/>
    <col min="13779" max="13779" width="23.42578125" style="118" customWidth="1"/>
    <col min="13780" max="13780" width="27.7109375" style="118" customWidth="1"/>
    <col min="13781" max="13782" width="0" style="118" hidden="1" customWidth="1"/>
    <col min="13783" max="13783" width="43.42578125" style="118" customWidth="1"/>
    <col min="13784" max="13784" width="55.85546875" style="118" customWidth="1"/>
    <col min="13785" max="13785" width="47.85546875" style="118" customWidth="1"/>
    <col min="13786" max="13875" width="9" style="118"/>
    <col min="13876" max="13876" width="11.5703125" style="118" customWidth="1"/>
    <col min="13877" max="13879" width="0" style="118" hidden="1" customWidth="1"/>
    <col min="13880" max="13880" width="69.5703125" style="118" customWidth="1"/>
    <col min="13881" max="13881" width="17" style="118" customWidth="1"/>
    <col min="13882" max="13889" width="0" style="118" hidden="1" customWidth="1"/>
    <col min="13890" max="13890" width="32.28515625" style="118" customWidth="1"/>
    <col min="13891" max="13891" width="31.85546875" style="118" customWidth="1"/>
    <col min="13892" max="13892" width="26.85546875" style="118" customWidth="1"/>
    <col min="13893" max="13893" width="27.42578125" style="118" customWidth="1"/>
    <col min="13894" max="13894" width="28.5703125" style="118" customWidth="1"/>
    <col min="13895" max="13979" width="0" style="118" hidden="1" customWidth="1"/>
    <col min="13980" max="13981" width="25" style="118" customWidth="1"/>
    <col min="13982" max="13982" width="27.85546875" style="118" customWidth="1"/>
    <col min="13983" max="13984" width="22.42578125" style="118" customWidth="1"/>
    <col min="13985" max="13985" width="22.7109375" style="118" customWidth="1"/>
    <col min="13986" max="14029" width="0" style="118" hidden="1" customWidth="1"/>
    <col min="14030" max="14033" width="23.42578125" style="118" customWidth="1"/>
    <col min="14034" max="14034" width="21.140625" style="118" customWidth="1"/>
    <col min="14035" max="14035" width="23.42578125" style="118" customWidth="1"/>
    <col min="14036" max="14036" width="27.7109375" style="118" customWidth="1"/>
    <col min="14037" max="14038" width="0" style="118" hidden="1" customWidth="1"/>
    <col min="14039" max="14039" width="43.42578125" style="118" customWidth="1"/>
    <col min="14040" max="14040" width="55.85546875" style="118" customWidth="1"/>
    <col min="14041" max="14041" width="47.85546875" style="118" customWidth="1"/>
    <col min="14042" max="14131" width="9" style="118"/>
    <col min="14132" max="14132" width="11.5703125" style="118" customWidth="1"/>
    <col min="14133" max="14135" width="0" style="118" hidden="1" customWidth="1"/>
    <col min="14136" max="14136" width="69.5703125" style="118" customWidth="1"/>
    <col min="14137" max="14137" width="17" style="118" customWidth="1"/>
    <col min="14138" max="14145" width="0" style="118" hidden="1" customWidth="1"/>
    <col min="14146" max="14146" width="32.28515625" style="118" customWidth="1"/>
    <col min="14147" max="14147" width="31.85546875" style="118" customWidth="1"/>
    <col min="14148" max="14148" width="26.85546875" style="118" customWidth="1"/>
    <col min="14149" max="14149" width="27.42578125" style="118" customWidth="1"/>
    <col min="14150" max="14150" width="28.5703125" style="118" customWidth="1"/>
    <col min="14151" max="14235" width="0" style="118" hidden="1" customWidth="1"/>
    <col min="14236" max="14237" width="25" style="118" customWidth="1"/>
    <col min="14238" max="14238" width="27.85546875" style="118" customWidth="1"/>
    <col min="14239" max="14240" width="22.42578125" style="118" customWidth="1"/>
    <col min="14241" max="14241" width="22.7109375" style="118" customWidth="1"/>
    <col min="14242" max="14285" width="0" style="118" hidden="1" customWidth="1"/>
    <col min="14286" max="14289" width="23.42578125" style="118" customWidth="1"/>
    <col min="14290" max="14290" width="21.140625" style="118" customWidth="1"/>
    <col min="14291" max="14291" width="23.42578125" style="118" customWidth="1"/>
    <col min="14292" max="14292" width="27.7109375" style="118" customWidth="1"/>
    <col min="14293" max="14294" width="0" style="118" hidden="1" customWidth="1"/>
    <col min="14295" max="14295" width="43.42578125" style="118" customWidth="1"/>
    <col min="14296" max="14296" width="55.85546875" style="118" customWidth="1"/>
    <col min="14297" max="14297" width="47.85546875" style="118" customWidth="1"/>
    <col min="14298" max="14387" width="9" style="118"/>
    <col min="14388" max="14388" width="11.5703125" style="118" customWidth="1"/>
    <col min="14389" max="14391" width="0" style="118" hidden="1" customWidth="1"/>
    <col min="14392" max="14392" width="69.5703125" style="118" customWidth="1"/>
    <col min="14393" max="14393" width="17" style="118" customWidth="1"/>
    <col min="14394" max="14401" width="0" style="118" hidden="1" customWidth="1"/>
    <col min="14402" max="14402" width="32.28515625" style="118" customWidth="1"/>
    <col min="14403" max="14403" width="31.85546875" style="118" customWidth="1"/>
    <col min="14404" max="14404" width="26.85546875" style="118" customWidth="1"/>
    <col min="14405" max="14405" width="27.42578125" style="118" customWidth="1"/>
    <col min="14406" max="14406" width="28.5703125" style="118" customWidth="1"/>
    <col min="14407" max="14491" width="0" style="118" hidden="1" customWidth="1"/>
    <col min="14492" max="14493" width="25" style="118" customWidth="1"/>
    <col min="14494" max="14494" width="27.85546875" style="118" customWidth="1"/>
    <col min="14495" max="14496" width="22.42578125" style="118" customWidth="1"/>
    <col min="14497" max="14497" width="22.7109375" style="118" customWidth="1"/>
    <col min="14498" max="14541" width="0" style="118" hidden="1" customWidth="1"/>
    <col min="14542" max="14545" width="23.42578125" style="118" customWidth="1"/>
    <col min="14546" max="14546" width="21.140625" style="118" customWidth="1"/>
    <col min="14547" max="14547" width="23.42578125" style="118" customWidth="1"/>
    <col min="14548" max="14548" width="27.7109375" style="118" customWidth="1"/>
    <col min="14549" max="14550" width="0" style="118" hidden="1" customWidth="1"/>
    <col min="14551" max="14551" width="43.42578125" style="118" customWidth="1"/>
    <col min="14552" max="14552" width="55.85546875" style="118" customWidth="1"/>
    <col min="14553" max="14553" width="47.85546875" style="118" customWidth="1"/>
    <col min="14554" max="14643" width="9" style="118"/>
    <col min="14644" max="14644" width="11.5703125" style="118" customWidth="1"/>
    <col min="14645" max="14647" width="0" style="118" hidden="1" customWidth="1"/>
    <col min="14648" max="14648" width="69.5703125" style="118" customWidth="1"/>
    <col min="14649" max="14649" width="17" style="118" customWidth="1"/>
    <col min="14650" max="14657" width="0" style="118" hidden="1" customWidth="1"/>
    <col min="14658" max="14658" width="32.28515625" style="118" customWidth="1"/>
    <col min="14659" max="14659" width="31.85546875" style="118" customWidth="1"/>
    <col min="14660" max="14660" width="26.85546875" style="118" customWidth="1"/>
    <col min="14661" max="14661" width="27.42578125" style="118" customWidth="1"/>
    <col min="14662" max="14662" width="28.5703125" style="118" customWidth="1"/>
    <col min="14663" max="14747" width="0" style="118" hidden="1" customWidth="1"/>
    <col min="14748" max="14749" width="25" style="118" customWidth="1"/>
    <col min="14750" max="14750" width="27.85546875" style="118" customWidth="1"/>
    <col min="14751" max="14752" width="22.42578125" style="118" customWidth="1"/>
    <col min="14753" max="14753" width="22.7109375" style="118" customWidth="1"/>
    <col min="14754" max="14797" width="0" style="118" hidden="1" customWidth="1"/>
    <col min="14798" max="14801" width="23.42578125" style="118" customWidth="1"/>
    <col min="14802" max="14802" width="21.140625" style="118" customWidth="1"/>
    <col min="14803" max="14803" width="23.42578125" style="118" customWidth="1"/>
    <col min="14804" max="14804" width="27.7109375" style="118" customWidth="1"/>
    <col min="14805" max="14806" width="0" style="118" hidden="1" customWidth="1"/>
    <col min="14807" max="14807" width="43.42578125" style="118" customWidth="1"/>
    <col min="14808" max="14808" width="55.85546875" style="118" customWidth="1"/>
    <col min="14809" max="14809" width="47.85546875" style="118" customWidth="1"/>
    <col min="14810" max="14899" width="9" style="118"/>
    <col min="14900" max="14900" width="11.5703125" style="118" customWidth="1"/>
    <col min="14901" max="14903" width="0" style="118" hidden="1" customWidth="1"/>
    <col min="14904" max="14904" width="69.5703125" style="118" customWidth="1"/>
    <col min="14905" max="14905" width="17" style="118" customWidth="1"/>
    <col min="14906" max="14913" width="0" style="118" hidden="1" customWidth="1"/>
    <col min="14914" max="14914" width="32.28515625" style="118" customWidth="1"/>
    <col min="14915" max="14915" width="31.85546875" style="118" customWidth="1"/>
    <col min="14916" max="14916" width="26.85546875" style="118" customWidth="1"/>
    <col min="14917" max="14917" width="27.42578125" style="118" customWidth="1"/>
    <col min="14918" max="14918" width="28.5703125" style="118" customWidth="1"/>
    <col min="14919" max="15003" width="0" style="118" hidden="1" customWidth="1"/>
    <col min="15004" max="15005" width="25" style="118" customWidth="1"/>
    <col min="15006" max="15006" width="27.85546875" style="118" customWidth="1"/>
    <col min="15007" max="15008" width="22.42578125" style="118" customWidth="1"/>
    <col min="15009" max="15009" width="22.7109375" style="118" customWidth="1"/>
    <col min="15010" max="15053" width="0" style="118" hidden="1" customWidth="1"/>
    <col min="15054" max="15057" width="23.42578125" style="118" customWidth="1"/>
    <col min="15058" max="15058" width="21.140625" style="118" customWidth="1"/>
    <col min="15059" max="15059" width="23.42578125" style="118" customWidth="1"/>
    <col min="15060" max="15060" width="27.7109375" style="118" customWidth="1"/>
    <col min="15061" max="15062" width="0" style="118" hidden="1" customWidth="1"/>
    <col min="15063" max="15063" width="43.42578125" style="118" customWidth="1"/>
    <col min="15064" max="15064" width="55.85546875" style="118" customWidth="1"/>
    <col min="15065" max="15065" width="47.85546875" style="118" customWidth="1"/>
    <col min="15066" max="15155" width="9" style="118"/>
    <col min="15156" max="15156" width="11.5703125" style="118" customWidth="1"/>
    <col min="15157" max="15159" width="0" style="118" hidden="1" customWidth="1"/>
    <col min="15160" max="15160" width="69.5703125" style="118" customWidth="1"/>
    <col min="15161" max="15161" width="17" style="118" customWidth="1"/>
    <col min="15162" max="15169" width="0" style="118" hidden="1" customWidth="1"/>
    <col min="15170" max="15170" width="32.28515625" style="118" customWidth="1"/>
    <col min="15171" max="15171" width="31.85546875" style="118" customWidth="1"/>
    <col min="15172" max="15172" width="26.85546875" style="118" customWidth="1"/>
    <col min="15173" max="15173" width="27.42578125" style="118" customWidth="1"/>
    <col min="15174" max="15174" width="28.5703125" style="118" customWidth="1"/>
    <col min="15175" max="15259" width="0" style="118" hidden="1" customWidth="1"/>
    <col min="15260" max="15261" width="25" style="118" customWidth="1"/>
    <col min="15262" max="15262" width="27.85546875" style="118" customWidth="1"/>
    <col min="15263" max="15264" width="22.42578125" style="118" customWidth="1"/>
    <col min="15265" max="15265" width="22.7109375" style="118" customWidth="1"/>
    <col min="15266" max="15309" width="0" style="118" hidden="1" customWidth="1"/>
    <col min="15310" max="15313" width="23.42578125" style="118" customWidth="1"/>
    <col min="15314" max="15314" width="21.140625" style="118" customWidth="1"/>
    <col min="15315" max="15315" width="23.42578125" style="118" customWidth="1"/>
    <col min="15316" max="15316" width="27.7109375" style="118" customWidth="1"/>
    <col min="15317" max="15318" width="0" style="118" hidden="1" customWidth="1"/>
    <col min="15319" max="15319" width="43.42578125" style="118" customWidth="1"/>
    <col min="15320" max="15320" width="55.85546875" style="118" customWidth="1"/>
    <col min="15321" max="15321" width="47.85546875" style="118" customWidth="1"/>
    <col min="15322" max="15411" width="9" style="118"/>
    <col min="15412" max="15412" width="11.5703125" style="118" customWidth="1"/>
    <col min="15413" max="15415" width="0" style="118" hidden="1" customWidth="1"/>
    <col min="15416" max="15416" width="69.5703125" style="118" customWidth="1"/>
    <col min="15417" max="15417" width="17" style="118" customWidth="1"/>
    <col min="15418" max="15425" width="0" style="118" hidden="1" customWidth="1"/>
    <col min="15426" max="15426" width="32.28515625" style="118" customWidth="1"/>
    <col min="15427" max="15427" width="31.85546875" style="118" customWidth="1"/>
    <col min="15428" max="15428" width="26.85546875" style="118" customWidth="1"/>
    <col min="15429" max="15429" width="27.42578125" style="118" customWidth="1"/>
    <col min="15430" max="15430" width="28.5703125" style="118" customWidth="1"/>
    <col min="15431" max="15515" width="0" style="118" hidden="1" customWidth="1"/>
    <col min="15516" max="15517" width="25" style="118" customWidth="1"/>
    <col min="15518" max="15518" width="27.85546875" style="118" customWidth="1"/>
    <col min="15519" max="15520" width="22.42578125" style="118" customWidth="1"/>
    <col min="15521" max="15521" width="22.7109375" style="118" customWidth="1"/>
    <col min="15522" max="15565" width="0" style="118" hidden="1" customWidth="1"/>
    <col min="15566" max="15569" width="23.42578125" style="118" customWidth="1"/>
    <col min="15570" max="15570" width="21.140625" style="118" customWidth="1"/>
    <col min="15571" max="15571" width="23.42578125" style="118" customWidth="1"/>
    <col min="15572" max="15572" width="27.7109375" style="118" customWidth="1"/>
    <col min="15573" max="15574" width="0" style="118" hidden="1" customWidth="1"/>
    <col min="15575" max="15575" width="43.42578125" style="118" customWidth="1"/>
    <col min="15576" max="15576" width="55.85546875" style="118" customWidth="1"/>
    <col min="15577" max="15577" width="47.85546875" style="118" customWidth="1"/>
    <col min="15578" max="15667" width="9" style="118"/>
    <col min="15668" max="15668" width="11.5703125" style="118" customWidth="1"/>
    <col min="15669" max="15671" width="0" style="118" hidden="1" customWidth="1"/>
    <col min="15672" max="15672" width="69.5703125" style="118" customWidth="1"/>
    <col min="15673" max="15673" width="17" style="118" customWidth="1"/>
    <col min="15674" max="15681" width="0" style="118" hidden="1" customWidth="1"/>
    <col min="15682" max="15682" width="32.28515625" style="118" customWidth="1"/>
    <col min="15683" max="15683" width="31.85546875" style="118" customWidth="1"/>
    <col min="15684" max="15684" width="26.85546875" style="118" customWidth="1"/>
    <col min="15685" max="15685" width="27.42578125" style="118" customWidth="1"/>
    <col min="15686" max="15686" width="28.5703125" style="118" customWidth="1"/>
    <col min="15687" max="15771" width="0" style="118" hidden="1" customWidth="1"/>
    <col min="15772" max="15773" width="25" style="118" customWidth="1"/>
    <col min="15774" max="15774" width="27.85546875" style="118" customWidth="1"/>
    <col min="15775" max="15776" width="22.42578125" style="118" customWidth="1"/>
    <col min="15777" max="15777" width="22.7109375" style="118" customWidth="1"/>
    <col min="15778" max="15821" width="0" style="118" hidden="1" customWidth="1"/>
    <col min="15822" max="15825" width="23.42578125" style="118" customWidth="1"/>
    <col min="15826" max="15826" width="21.140625" style="118" customWidth="1"/>
    <col min="15827" max="15827" width="23.42578125" style="118" customWidth="1"/>
    <col min="15828" max="15828" width="27.7109375" style="118" customWidth="1"/>
    <col min="15829" max="15830" width="0" style="118" hidden="1" customWidth="1"/>
    <col min="15831" max="15831" width="43.42578125" style="118" customWidth="1"/>
    <col min="15832" max="15832" width="55.85546875" style="118" customWidth="1"/>
    <col min="15833" max="15833" width="47.85546875" style="118" customWidth="1"/>
    <col min="15834" max="15923" width="9" style="118"/>
    <col min="15924" max="15924" width="11.5703125" style="118" customWidth="1"/>
    <col min="15925" max="15927" width="0" style="118" hidden="1" customWidth="1"/>
    <col min="15928" max="15928" width="69.5703125" style="118" customWidth="1"/>
    <col min="15929" max="15929" width="17" style="118" customWidth="1"/>
    <col min="15930" max="15937" width="0" style="118" hidden="1" customWidth="1"/>
    <col min="15938" max="15938" width="32.28515625" style="118" customWidth="1"/>
    <col min="15939" max="15939" width="31.85546875" style="118" customWidth="1"/>
    <col min="15940" max="15940" width="26.85546875" style="118" customWidth="1"/>
    <col min="15941" max="15941" width="27.42578125" style="118" customWidth="1"/>
    <col min="15942" max="15942" width="28.5703125" style="118" customWidth="1"/>
    <col min="15943" max="16027" width="0" style="118" hidden="1" customWidth="1"/>
    <col min="16028" max="16029" width="25" style="118" customWidth="1"/>
    <col min="16030" max="16030" width="27.85546875" style="118" customWidth="1"/>
    <col min="16031" max="16032" width="22.42578125" style="118" customWidth="1"/>
    <col min="16033" max="16033" width="22.7109375" style="118" customWidth="1"/>
    <col min="16034" max="16077" width="0" style="118" hidden="1" customWidth="1"/>
    <col min="16078" max="16081" width="23.42578125" style="118" customWidth="1"/>
    <col min="16082" max="16082" width="21.140625" style="118" customWidth="1"/>
    <col min="16083" max="16083" width="23.42578125" style="118" customWidth="1"/>
    <col min="16084" max="16084" width="27.7109375" style="118" customWidth="1"/>
    <col min="16085" max="16086" width="0" style="118" hidden="1" customWidth="1"/>
    <col min="16087" max="16087" width="43.42578125" style="118" customWidth="1"/>
    <col min="16088" max="16088" width="55.85546875" style="118" customWidth="1"/>
    <col min="16089" max="16089" width="47.85546875" style="118" customWidth="1"/>
    <col min="16090" max="16384" width="9" style="118"/>
  </cols>
  <sheetData>
    <row r="1" spans="1:26" ht="20.25">
      <c r="A1" s="744" t="s">
        <v>373</v>
      </c>
      <c r="B1" s="744"/>
      <c r="T1" s="117"/>
      <c r="U1" s="117"/>
      <c r="V1" s="809" t="s">
        <v>321</v>
      </c>
      <c r="W1" s="809"/>
      <c r="X1" s="809"/>
      <c r="Y1" s="809"/>
      <c r="Z1" s="809"/>
    </row>
    <row r="2" spans="1:26" ht="22.5">
      <c r="A2" s="828" t="s">
        <v>477</v>
      </c>
      <c r="B2" s="828"/>
      <c r="C2" s="828"/>
      <c r="D2" s="828"/>
      <c r="E2" s="828"/>
      <c r="F2" s="828"/>
      <c r="G2" s="828"/>
      <c r="H2" s="828"/>
      <c r="I2" s="828"/>
      <c r="J2" s="828"/>
      <c r="K2" s="828"/>
      <c r="L2" s="828"/>
      <c r="M2" s="828"/>
      <c r="N2" s="828"/>
      <c r="O2" s="828"/>
      <c r="P2" s="828"/>
      <c r="Q2" s="828"/>
      <c r="R2" s="828"/>
      <c r="S2" s="828"/>
      <c r="T2" s="828"/>
      <c r="U2" s="828"/>
      <c r="V2" s="828"/>
      <c r="W2" s="828"/>
      <c r="X2" s="828"/>
      <c r="Y2" s="828"/>
      <c r="Z2" s="828"/>
    </row>
    <row r="3" spans="1:26" ht="23.25">
      <c r="A3" s="829" t="s">
        <v>147</v>
      </c>
      <c r="B3" s="829"/>
      <c r="C3" s="829"/>
      <c r="D3" s="829"/>
      <c r="E3" s="829"/>
      <c r="F3" s="829"/>
      <c r="G3" s="829"/>
      <c r="H3" s="829"/>
      <c r="I3" s="829"/>
      <c r="J3" s="829"/>
      <c r="K3" s="829"/>
      <c r="L3" s="829"/>
      <c r="M3" s="829"/>
      <c r="N3" s="829"/>
      <c r="O3" s="829"/>
      <c r="P3" s="829"/>
      <c r="Q3" s="829"/>
      <c r="R3" s="829"/>
      <c r="S3" s="829"/>
      <c r="T3" s="829"/>
      <c r="U3" s="829"/>
      <c r="V3" s="829"/>
      <c r="W3" s="829"/>
      <c r="X3" s="829"/>
      <c r="Y3" s="829"/>
      <c r="Z3" s="829"/>
    </row>
    <row r="4" spans="1:26" ht="10.15" customHeight="1">
      <c r="A4" s="119"/>
      <c r="B4" s="120"/>
      <c r="C4" s="121"/>
      <c r="D4" s="121"/>
      <c r="E4" s="121"/>
      <c r="F4" s="121"/>
      <c r="G4" s="122"/>
      <c r="H4" s="122"/>
      <c r="I4" s="122"/>
      <c r="J4" s="122"/>
      <c r="K4" s="122"/>
      <c r="L4" s="122"/>
      <c r="M4" s="122"/>
      <c r="N4" s="122"/>
      <c r="O4" s="122"/>
      <c r="P4" s="122"/>
      <c r="Q4" s="122"/>
      <c r="R4" s="122"/>
      <c r="S4" s="122"/>
      <c r="T4" s="122"/>
      <c r="U4" s="122"/>
      <c r="V4" s="122"/>
      <c r="W4" s="122"/>
      <c r="X4" s="122"/>
      <c r="Y4" s="122"/>
      <c r="Z4" s="122"/>
    </row>
    <row r="5" spans="1:26">
      <c r="W5" s="831" t="s">
        <v>64</v>
      </c>
      <c r="X5" s="831"/>
      <c r="Y5" s="831"/>
      <c r="Z5" s="831"/>
    </row>
    <row r="6" spans="1:26" ht="37.5" customHeight="1">
      <c r="A6" s="830" t="s">
        <v>322</v>
      </c>
      <c r="B6" s="832" t="s">
        <v>148</v>
      </c>
      <c r="C6" s="830" t="s">
        <v>149</v>
      </c>
      <c r="D6" s="830" t="s">
        <v>150</v>
      </c>
      <c r="E6" s="830" t="s">
        <v>323</v>
      </c>
      <c r="F6" s="830" t="s">
        <v>324</v>
      </c>
      <c r="G6" s="830"/>
      <c r="H6" s="830"/>
      <c r="I6" s="830"/>
      <c r="J6" s="830"/>
      <c r="K6" s="830"/>
      <c r="L6" s="822" t="s">
        <v>356</v>
      </c>
      <c r="M6" s="823"/>
      <c r="N6" s="823"/>
      <c r="O6" s="824"/>
      <c r="P6" s="810" t="s">
        <v>497</v>
      </c>
      <c r="Q6" s="811"/>
      <c r="R6" s="811"/>
      <c r="S6" s="812"/>
      <c r="T6" s="810" t="s">
        <v>505</v>
      </c>
      <c r="U6" s="811"/>
      <c r="V6" s="811"/>
      <c r="W6" s="811"/>
      <c r="X6" s="811"/>
      <c r="Y6" s="811"/>
      <c r="Z6" s="812"/>
    </row>
    <row r="7" spans="1:26" ht="21" customHeight="1">
      <c r="A7" s="830"/>
      <c r="B7" s="832"/>
      <c r="C7" s="830"/>
      <c r="D7" s="830"/>
      <c r="E7" s="830"/>
      <c r="F7" s="830" t="s">
        <v>151</v>
      </c>
      <c r="G7" s="830" t="s">
        <v>152</v>
      </c>
      <c r="H7" s="830"/>
      <c r="I7" s="830"/>
      <c r="J7" s="830"/>
      <c r="K7" s="830"/>
      <c r="L7" s="825"/>
      <c r="M7" s="826"/>
      <c r="N7" s="826"/>
      <c r="O7" s="827"/>
      <c r="P7" s="813"/>
      <c r="Q7" s="814"/>
      <c r="R7" s="814"/>
      <c r="S7" s="815"/>
      <c r="T7" s="813"/>
      <c r="U7" s="814"/>
      <c r="V7" s="814"/>
      <c r="W7" s="814"/>
      <c r="X7" s="814"/>
      <c r="Y7" s="814"/>
      <c r="Z7" s="815"/>
    </row>
    <row r="8" spans="1:26" ht="21" customHeight="1">
      <c r="A8" s="830"/>
      <c r="B8" s="832"/>
      <c r="C8" s="830"/>
      <c r="D8" s="830"/>
      <c r="E8" s="830"/>
      <c r="F8" s="830"/>
      <c r="G8" s="830" t="s">
        <v>27</v>
      </c>
      <c r="H8" s="830" t="s">
        <v>153</v>
      </c>
      <c r="I8" s="830"/>
      <c r="J8" s="830"/>
      <c r="K8" s="830"/>
      <c r="L8" s="816" t="s">
        <v>27</v>
      </c>
      <c r="M8" s="819" t="s">
        <v>325</v>
      </c>
      <c r="N8" s="820"/>
      <c r="O8" s="821"/>
      <c r="P8" s="816" t="s">
        <v>27</v>
      </c>
      <c r="Q8" s="819" t="s">
        <v>325</v>
      </c>
      <c r="R8" s="820"/>
      <c r="S8" s="821"/>
      <c r="T8" s="816" t="s">
        <v>27</v>
      </c>
      <c r="U8" s="819" t="s">
        <v>357</v>
      </c>
      <c r="V8" s="820"/>
      <c r="W8" s="820"/>
      <c r="X8" s="820"/>
      <c r="Y8" s="820"/>
      <c r="Z8" s="821"/>
    </row>
    <row r="9" spans="1:26" ht="12.75" customHeight="1">
      <c r="A9" s="830"/>
      <c r="B9" s="832"/>
      <c r="C9" s="830"/>
      <c r="D9" s="830"/>
      <c r="E9" s="830"/>
      <c r="F9" s="830"/>
      <c r="G9" s="830"/>
      <c r="H9" s="830" t="s">
        <v>355</v>
      </c>
      <c r="I9" s="830" t="s">
        <v>331</v>
      </c>
      <c r="J9" s="830" t="s">
        <v>326</v>
      </c>
      <c r="K9" s="830" t="s">
        <v>332</v>
      </c>
      <c r="L9" s="817"/>
      <c r="M9" s="816" t="s">
        <v>354</v>
      </c>
      <c r="N9" s="816" t="s">
        <v>154</v>
      </c>
      <c r="O9" s="816" t="s">
        <v>326</v>
      </c>
      <c r="P9" s="817"/>
      <c r="Q9" s="816" t="s">
        <v>354</v>
      </c>
      <c r="R9" s="816" t="s">
        <v>154</v>
      </c>
      <c r="S9" s="816" t="s">
        <v>326</v>
      </c>
      <c r="T9" s="817"/>
      <c r="U9" s="816" t="s">
        <v>354</v>
      </c>
      <c r="V9" s="816" t="s">
        <v>154</v>
      </c>
      <c r="W9" s="816" t="s">
        <v>327</v>
      </c>
      <c r="X9" s="816" t="s">
        <v>328</v>
      </c>
      <c r="Y9" s="816" t="s">
        <v>329</v>
      </c>
      <c r="Z9" s="816" t="s">
        <v>330</v>
      </c>
    </row>
    <row r="10" spans="1:26" ht="99" customHeight="1">
      <c r="A10" s="830"/>
      <c r="B10" s="832"/>
      <c r="C10" s="830"/>
      <c r="D10" s="830"/>
      <c r="E10" s="830"/>
      <c r="F10" s="830"/>
      <c r="G10" s="830"/>
      <c r="H10" s="830"/>
      <c r="I10" s="830"/>
      <c r="J10" s="830"/>
      <c r="K10" s="830"/>
      <c r="L10" s="818"/>
      <c r="M10" s="818"/>
      <c r="N10" s="818"/>
      <c r="O10" s="818"/>
      <c r="P10" s="818"/>
      <c r="Q10" s="818"/>
      <c r="R10" s="818"/>
      <c r="S10" s="818"/>
      <c r="T10" s="818"/>
      <c r="U10" s="818"/>
      <c r="V10" s="818"/>
      <c r="W10" s="818"/>
      <c r="X10" s="818"/>
      <c r="Y10" s="818"/>
      <c r="Z10" s="818"/>
    </row>
    <row r="11" spans="1:26" ht="25.15" customHeight="1">
      <c r="A11" s="125" t="s">
        <v>55</v>
      </c>
      <c r="B11" s="126" t="s">
        <v>56</v>
      </c>
      <c r="C11" s="125">
        <v>1</v>
      </c>
      <c r="D11" s="125">
        <v>2</v>
      </c>
      <c r="E11" s="125">
        <v>3</v>
      </c>
      <c r="F11" s="125">
        <v>4</v>
      </c>
      <c r="G11" s="125">
        <v>5</v>
      </c>
      <c r="H11" s="125">
        <v>6</v>
      </c>
      <c r="I11" s="125">
        <v>7</v>
      </c>
      <c r="J11" s="125">
        <v>8</v>
      </c>
      <c r="K11" s="125">
        <v>9</v>
      </c>
      <c r="L11" s="125">
        <v>10</v>
      </c>
      <c r="M11" s="125">
        <v>11</v>
      </c>
      <c r="N11" s="125">
        <v>12</v>
      </c>
      <c r="O11" s="125">
        <v>13</v>
      </c>
      <c r="P11" s="125">
        <v>14</v>
      </c>
      <c r="Q11" s="125">
        <v>15</v>
      </c>
      <c r="R11" s="125">
        <v>16</v>
      </c>
      <c r="S11" s="125">
        <v>17</v>
      </c>
      <c r="T11" s="125">
        <v>18</v>
      </c>
      <c r="U11" s="125">
        <v>19</v>
      </c>
      <c r="V11" s="125">
        <v>20</v>
      </c>
      <c r="W11" s="125">
        <v>21</v>
      </c>
      <c r="X11" s="125">
        <v>22</v>
      </c>
      <c r="Y11" s="125">
        <v>23</v>
      </c>
      <c r="Z11" s="125">
        <v>24</v>
      </c>
    </row>
    <row r="12" spans="1:26" s="131" customFormat="1" ht="25.5" customHeight="1">
      <c r="A12" s="127"/>
      <c r="B12" s="127" t="s">
        <v>387</v>
      </c>
      <c r="C12" s="128"/>
      <c r="D12" s="128"/>
      <c r="E12" s="128"/>
      <c r="F12" s="129"/>
      <c r="G12" s="130">
        <f>SUM(G13,G17,G23,G28,G34,G45,G48,G115,G124)</f>
        <v>15194654.279999999</v>
      </c>
      <c r="H12" s="130">
        <f t="shared" ref="H12:S12" si="0">SUM(H13,H17,H23,H28,H34,H45,H48,H115,H124)</f>
        <v>1660677.6</v>
      </c>
      <c r="I12" s="130">
        <f t="shared" si="0"/>
        <v>7137135</v>
      </c>
      <c r="J12" s="130">
        <f t="shared" si="0"/>
        <v>6121436.6799999997</v>
      </c>
      <c r="K12" s="130">
        <f t="shared" si="0"/>
        <v>275405</v>
      </c>
      <c r="L12" s="130">
        <f t="shared" si="0"/>
        <v>5103763.7140000006</v>
      </c>
      <c r="M12" s="130">
        <f t="shared" si="0"/>
        <v>0</v>
      </c>
      <c r="N12" s="130">
        <f t="shared" si="0"/>
        <v>3087527</v>
      </c>
      <c r="O12" s="130">
        <f t="shared" si="0"/>
        <v>2016236.7139999999</v>
      </c>
      <c r="P12" s="130">
        <f t="shared" si="0"/>
        <v>4904683.7140000006</v>
      </c>
      <c r="Q12" s="130">
        <f t="shared" si="0"/>
        <v>164197</v>
      </c>
      <c r="R12" s="130">
        <f t="shared" si="0"/>
        <v>2950767</v>
      </c>
      <c r="S12" s="130">
        <f t="shared" si="0"/>
        <v>1789719.7139999999</v>
      </c>
      <c r="T12" s="130">
        <f>SUM(T13,T17,T23,T28,T34,T45,T48,T115,T124)</f>
        <v>2680659</v>
      </c>
      <c r="U12" s="130">
        <f t="shared" ref="U12:Z12" si="1">SUM(U13,U17,U23,U28,U34,U45,U48,U115,U124)+U127</f>
        <v>433095</v>
      </c>
      <c r="V12" s="130">
        <f t="shared" si="1"/>
        <v>1305200</v>
      </c>
      <c r="W12" s="130">
        <f t="shared" si="1"/>
        <v>403014</v>
      </c>
      <c r="X12" s="130">
        <f t="shared" si="1"/>
        <v>40000</v>
      </c>
      <c r="Y12" s="130">
        <f t="shared" si="1"/>
        <v>1238940</v>
      </c>
      <c r="Z12" s="130">
        <f t="shared" si="1"/>
        <v>0</v>
      </c>
    </row>
    <row r="13" spans="1:26" s="136" customFormat="1" ht="27.75" customHeight="1">
      <c r="A13" s="132" t="s">
        <v>55</v>
      </c>
      <c r="B13" s="133" t="s">
        <v>125</v>
      </c>
      <c r="C13" s="134"/>
      <c r="D13" s="134"/>
      <c r="E13" s="134"/>
      <c r="F13" s="134"/>
      <c r="G13" s="130">
        <f>G14</f>
        <v>28500</v>
      </c>
      <c r="H13" s="130">
        <f t="shared" ref="H13:S13" si="2">H14</f>
        <v>0</v>
      </c>
      <c r="I13" s="130">
        <f t="shared" si="2"/>
        <v>0</v>
      </c>
      <c r="J13" s="130">
        <f t="shared" si="2"/>
        <v>28500</v>
      </c>
      <c r="K13" s="130">
        <f t="shared" si="2"/>
        <v>0</v>
      </c>
      <c r="L13" s="130">
        <f t="shared" si="2"/>
        <v>36797</v>
      </c>
      <c r="M13" s="130">
        <f t="shared" si="2"/>
        <v>0</v>
      </c>
      <c r="N13" s="130">
        <f t="shared" si="2"/>
        <v>12000</v>
      </c>
      <c r="O13" s="130">
        <f t="shared" si="2"/>
        <v>24797</v>
      </c>
      <c r="P13" s="130">
        <f t="shared" si="2"/>
        <v>12734</v>
      </c>
      <c r="Q13" s="130">
        <f t="shared" si="2"/>
        <v>0</v>
      </c>
      <c r="R13" s="130">
        <f t="shared" si="2"/>
        <v>0</v>
      </c>
      <c r="S13" s="130">
        <f t="shared" si="2"/>
        <v>12734</v>
      </c>
      <c r="T13" s="135">
        <f>T14</f>
        <v>15766</v>
      </c>
      <c r="U13" s="135">
        <f t="shared" ref="U13:Z13" si="3">U14</f>
        <v>0</v>
      </c>
      <c r="V13" s="135">
        <f t="shared" si="3"/>
        <v>0</v>
      </c>
      <c r="W13" s="135">
        <f t="shared" si="3"/>
        <v>15766</v>
      </c>
      <c r="X13" s="135">
        <f t="shared" si="3"/>
        <v>0</v>
      </c>
      <c r="Y13" s="135">
        <f t="shared" si="3"/>
        <v>0</v>
      </c>
      <c r="Z13" s="135">
        <f t="shared" si="3"/>
        <v>0</v>
      </c>
    </row>
    <row r="14" spans="1:26" s="104" customFormat="1" ht="29.25" customHeight="1">
      <c r="A14" s="132" t="s">
        <v>97</v>
      </c>
      <c r="B14" s="137" t="s">
        <v>388</v>
      </c>
      <c r="C14" s="138"/>
      <c r="D14" s="138"/>
      <c r="E14" s="138"/>
      <c r="F14" s="138"/>
      <c r="G14" s="109">
        <f>SUM(G15:G16)</f>
        <v>28500</v>
      </c>
      <c r="H14" s="109">
        <f t="shared" ref="H14:M14" si="4">SUM(H15:H16)</f>
        <v>0</v>
      </c>
      <c r="I14" s="109">
        <f t="shared" si="4"/>
        <v>0</v>
      </c>
      <c r="J14" s="109">
        <f t="shared" si="4"/>
        <v>28500</v>
      </c>
      <c r="K14" s="109">
        <f t="shared" si="4"/>
        <v>0</v>
      </c>
      <c r="L14" s="109">
        <f t="shared" si="4"/>
        <v>36797</v>
      </c>
      <c r="M14" s="109">
        <f t="shared" si="4"/>
        <v>0</v>
      </c>
      <c r="N14" s="109">
        <f>SUM(N15:N16)</f>
        <v>12000</v>
      </c>
      <c r="O14" s="109">
        <f t="shared" ref="O14:R14" si="5">SUM(O15:O16)</f>
        <v>24797</v>
      </c>
      <c r="P14" s="109">
        <f t="shared" si="5"/>
        <v>12734</v>
      </c>
      <c r="Q14" s="109">
        <f t="shared" si="5"/>
        <v>0</v>
      </c>
      <c r="R14" s="109">
        <f t="shared" si="5"/>
        <v>0</v>
      </c>
      <c r="S14" s="109">
        <f>SUM(S15:S16)</f>
        <v>12734</v>
      </c>
      <c r="T14" s="135">
        <f>T15+T16</f>
        <v>15766</v>
      </c>
      <c r="U14" s="135">
        <f t="shared" ref="U14:Z14" si="6">U15+U16</f>
        <v>0</v>
      </c>
      <c r="V14" s="135">
        <f t="shared" si="6"/>
        <v>0</v>
      </c>
      <c r="W14" s="135">
        <f t="shared" si="6"/>
        <v>15766</v>
      </c>
      <c r="X14" s="135">
        <f t="shared" si="6"/>
        <v>0</v>
      </c>
      <c r="Y14" s="135">
        <f t="shared" si="6"/>
        <v>0</v>
      </c>
      <c r="Z14" s="135">
        <f t="shared" si="6"/>
        <v>0</v>
      </c>
    </row>
    <row r="15" spans="1:26" s="179" customFormat="1" ht="37.5">
      <c r="A15" s="177">
        <v>1</v>
      </c>
      <c r="B15" s="175" t="s">
        <v>493</v>
      </c>
      <c r="C15" s="178" t="s">
        <v>155</v>
      </c>
      <c r="D15" s="178">
        <v>0</v>
      </c>
      <c r="E15" s="178" t="s">
        <v>333</v>
      </c>
      <c r="F15" s="62" t="s">
        <v>495</v>
      </c>
      <c r="G15" s="113">
        <f>H15+I15+J15+K15</f>
        <v>14500</v>
      </c>
      <c r="H15" s="113">
        <v>0</v>
      </c>
      <c r="I15" s="113"/>
      <c r="J15" s="113">
        <v>14500</v>
      </c>
      <c r="K15" s="176">
        <v>0</v>
      </c>
      <c r="L15" s="176">
        <f>SUM(M15:O15)</f>
        <v>22297</v>
      </c>
      <c r="M15" s="176"/>
      <c r="N15" s="113">
        <v>12000</v>
      </c>
      <c r="O15" s="176">
        <v>10297</v>
      </c>
      <c r="P15" s="176">
        <f>SUM(Q15:S15)</f>
        <v>8000</v>
      </c>
      <c r="Q15" s="176">
        <f t="shared" ref="Q15:R16" si="7">M15</f>
        <v>0</v>
      </c>
      <c r="R15" s="176"/>
      <c r="S15" s="176">
        <v>8000</v>
      </c>
      <c r="T15" s="176">
        <f>SUM(U15:Z15)</f>
        <v>6500</v>
      </c>
      <c r="U15" s="176">
        <v>0</v>
      </c>
      <c r="V15" s="176">
        <v>0</v>
      </c>
      <c r="W15" s="176">
        <v>6500</v>
      </c>
      <c r="X15" s="176">
        <v>0</v>
      </c>
      <c r="Y15" s="176">
        <v>0</v>
      </c>
      <c r="Z15" s="176">
        <v>0</v>
      </c>
    </row>
    <row r="16" spans="1:26" s="179" customFormat="1" ht="37.5">
      <c r="A16" s="177">
        <v>2</v>
      </c>
      <c r="B16" s="175" t="s">
        <v>494</v>
      </c>
      <c r="C16" s="178" t="s">
        <v>155</v>
      </c>
      <c r="D16" s="178">
        <v>0</v>
      </c>
      <c r="E16" s="178" t="s">
        <v>334</v>
      </c>
      <c r="F16" s="62" t="s">
        <v>496</v>
      </c>
      <c r="G16" s="113">
        <f>H16+I16+J16+K16</f>
        <v>14000</v>
      </c>
      <c r="H16" s="113">
        <v>0</v>
      </c>
      <c r="I16" s="113">
        <v>0</v>
      </c>
      <c r="J16" s="113">
        <v>14000</v>
      </c>
      <c r="K16" s="176">
        <v>0</v>
      </c>
      <c r="L16" s="176">
        <f>SUM(M16:O16)</f>
        <v>14500</v>
      </c>
      <c r="M16" s="176"/>
      <c r="N16" s="113">
        <v>0</v>
      </c>
      <c r="O16" s="176">
        <v>14500</v>
      </c>
      <c r="P16" s="176">
        <f>SUM(Q16:S16)</f>
        <v>4734</v>
      </c>
      <c r="Q16" s="176">
        <f t="shared" si="7"/>
        <v>0</v>
      </c>
      <c r="R16" s="176">
        <f t="shared" si="7"/>
        <v>0</v>
      </c>
      <c r="S16" s="176">
        <v>4734</v>
      </c>
      <c r="T16" s="176">
        <f t="shared" ref="T16" si="8">SUM(U16:Z16)</f>
        <v>9266</v>
      </c>
      <c r="U16" s="176">
        <v>0</v>
      </c>
      <c r="V16" s="176">
        <v>0</v>
      </c>
      <c r="W16" s="176">
        <v>9266</v>
      </c>
      <c r="X16" s="176">
        <v>0</v>
      </c>
      <c r="Y16" s="176">
        <v>0</v>
      </c>
      <c r="Z16" s="176">
        <v>0</v>
      </c>
    </row>
    <row r="17" spans="1:26" s="104" customFormat="1" ht="37.5">
      <c r="A17" s="132" t="s">
        <v>56</v>
      </c>
      <c r="B17" s="108" t="s">
        <v>126</v>
      </c>
      <c r="C17" s="140" t="s">
        <v>159</v>
      </c>
      <c r="D17" s="140">
        <v>0</v>
      </c>
      <c r="E17" s="140" t="s">
        <v>335</v>
      </c>
      <c r="F17" s="105"/>
      <c r="G17" s="130">
        <f>G18</f>
        <v>210000</v>
      </c>
      <c r="H17" s="130">
        <f t="shared" ref="H17:S17" si="9">H18</f>
        <v>0</v>
      </c>
      <c r="I17" s="130">
        <f t="shared" si="9"/>
        <v>83500</v>
      </c>
      <c r="J17" s="130">
        <f t="shared" si="9"/>
        <v>126500</v>
      </c>
      <c r="K17" s="130">
        <f t="shared" si="9"/>
        <v>0</v>
      </c>
      <c r="L17" s="130">
        <f t="shared" si="9"/>
        <v>103528</v>
      </c>
      <c r="M17" s="130">
        <f t="shared" si="9"/>
        <v>0</v>
      </c>
      <c r="N17" s="130">
        <f t="shared" si="9"/>
        <v>0</v>
      </c>
      <c r="O17" s="130">
        <f t="shared" si="9"/>
        <v>103528</v>
      </c>
      <c r="P17" s="130">
        <f t="shared" si="9"/>
        <v>17000</v>
      </c>
      <c r="Q17" s="130">
        <f t="shared" si="9"/>
        <v>0</v>
      </c>
      <c r="R17" s="130">
        <f t="shared" si="9"/>
        <v>0</v>
      </c>
      <c r="S17" s="130">
        <f t="shared" si="9"/>
        <v>17000</v>
      </c>
      <c r="T17" s="130">
        <f>T18</f>
        <v>18000</v>
      </c>
      <c r="U17" s="130">
        <f t="shared" ref="U17:Z17" si="10">U18</f>
        <v>0</v>
      </c>
      <c r="V17" s="130">
        <f t="shared" si="10"/>
        <v>0</v>
      </c>
      <c r="W17" s="130">
        <f t="shared" si="10"/>
        <v>5000</v>
      </c>
      <c r="X17" s="130">
        <f t="shared" si="10"/>
        <v>0</v>
      </c>
      <c r="Y17" s="130">
        <f t="shared" si="10"/>
        <v>13000</v>
      </c>
      <c r="Z17" s="130">
        <f t="shared" si="10"/>
        <v>0</v>
      </c>
    </row>
    <row r="18" spans="1:26" s="104" customFormat="1" ht="25.9" customHeight="1">
      <c r="A18" s="132" t="s">
        <v>97</v>
      </c>
      <c r="B18" s="138" t="s">
        <v>389</v>
      </c>
      <c r="C18" s="140" t="s">
        <v>336</v>
      </c>
      <c r="D18" s="140" t="s">
        <v>336</v>
      </c>
      <c r="E18" s="140" t="s">
        <v>336</v>
      </c>
      <c r="F18" s="105"/>
      <c r="G18" s="130">
        <f>SUM(G19:G22)</f>
        <v>210000</v>
      </c>
      <c r="H18" s="130">
        <f t="shared" ref="H18:S18" si="11">SUM(H19:H22)</f>
        <v>0</v>
      </c>
      <c r="I18" s="130">
        <f t="shared" si="11"/>
        <v>83500</v>
      </c>
      <c r="J18" s="130">
        <f t="shared" si="11"/>
        <v>126500</v>
      </c>
      <c r="K18" s="130">
        <f t="shared" si="11"/>
        <v>0</v>
      </c>
      <c r="L18" s="130">
        <f t="shared" si="11"/>
        <v>103528</v>
      </c>
      <c r="M18" s="130">
        <f t="shared" si="11"/>
        <v>0</v>
      </c>
      <c r="N18" s="130">
        <f t="shared" si="11"/>
        <v>0</v>
      </c>
      <c r="O18" s="130">
        <f t="shared" si="11"/>
        <v>103528</v>
      </c>
      <c r="P18" s="130">
        <f t="shared" si="11"/>
        <v>17000</v>
      </c>
      <c r="Q18" s="130">
        <f t="shared" si="11"/>
        <v>0</v>
      </c>
      <c r="R18" s="130">
        <f t="shared" si="11"/>
        <v>0</v>
      </c>
      <c r="S18" s="130">
        <f t="shared" si="11"/>
        <v>17000</v>
      </c>
      <c r="T18" s="130">
        <f>SUM(T19:T22)</f>
        <v>18000</v>
      </c>
      <c r="U18" s="130">
        <f t="shared" ref="U18:Z18" si="12">SUM(U19:U22)</f>
        <v>0</v>
      </c>
      <c r="V18" s="130">
        <f t="shared" si="12"/>
        <v>0</v>
      </c>
      <c r="W18" s="130">
        <f t="shared" si="12"/>
        <v>5000</v>
      </c>
      <c r="X18" s="130">
        <f t="shared" si="12"/>
        <v>0</v>
      </c>
      <c r="Y18" s="130">
        <f t="shared" si="12"/>
        <v>13000</v>
      </c>
      <c r="Z18" s="130">
        <f t="shared" si="12"/>
        <v>0</v>
      </c>
    </row>
    <row r="19" spans="1:26" s="136" customFormat="1" ht="66">
      <c r="A19" s="139">
        <v>1</v>
      </c>
      <c r="B19" s="180" t="s">
        <v>498</v>
      </c>
      <c r="C19" s="178" t="s">
        <v>137</v>
      </c>
      <c r="D19" s="140">
        <v>0</v>
      </c>
      <c r="E19" s="112" t="s">
        <v>337</v>
      </c>
      <c r="F19" s="62" t="s">
        <v>434</v>
      </c>
      <c r="G19" s="176">
        <f>SUM(H19:K19)</f>
        <v>30000</v>
      </c>
      <c r="H19" s="176">
        <v>0</v>
      </c>
      <c r="I19" s="176"/>
      <c r="J19" s="176">
        <v>30000</v>
      </c>
      <c r="K19" s="141">
        <v>0</v>
      </c>
      <c r="L19" s="141">
        <f>SUM(M19:O19)</f>
        <v>79309</v>
      </c>
      <c r="M19" s="141"/>
      <c r="N19" s="141">
        <v>0</v>
      </c>
      <c r="O19" s="141">
        <v>79309</v>
      </c>
      <c r="P19" s="176">
        <f>SUM(Q19:S19)</f>
        <v>17000</v>
      </c>
      <c r="Q19" s="176">
        <f t="shared" ref="Q19:R20" si="13">M19</f>
        <v>0</v>
      </c>
      <c r="R19" s="176">
        <f t="shared" si="13"/>
        <v>0</v>
      </c>
      <c r="S19" s="176">
        <v>17000</v>
      </c>
      <c r="T19" s="28">
        <f>SUM(U19:Z19)</f>
        <v>13000</v>
      </c>
      <c r="U19" s="28">
        <v>0</v>
      </c>
      <c r="V19" s="28">
        <v>0</v>
      </c>
      <c r="W19" s="181">
        <v>5000</v>
      </c>
      <c r="X19" s="28">
        <v>0</v>
      </c>
      <c r="Y19" s="28">
        <v>8000</v>
      </c>
      <c r="Z19" s="28">
        <v>0</v>
      </c>
    </row>
    <row r="20" spans="1:26" s="136" customFormat="1" ht="37.5">
      <c r="A20" s="139">
        <v>2</v>
      </c>
      <c r="B20" s="180" t="s">
        <v>499</v>
      </c>
      <c r="C20" s="178" t="s">
        <v>158</v>
      </c>
      <c r="D20" s="107"/>
      <c r="E20" s="107" t="s">
        <v>337</v>
      </c>
      <c r="F20" s="62" t="s">
        <v>502</v>
      </c>
      <c r="G20" s="176">
        <f t="shared" ref="G20:G22" si="14">SUM(H20:K20)</f>
        <v>110000</v>
      </c>
      <c r="H20" s="113">
        <v>0</v>
      </c>
      <c r="I20" s="113">
        <v>83500</v>
      </c>
      <c r="J20" s="113">
        <v>26500</v>
      </c>
      <c r="K20" s="141">
        <v>0</v>
      </c>
      <c r="L20" s="141">
        <f>SUM(M20:O20)</f>
        <v>9919</v>
      </c>
      <c r="M20" s="50"/>
      <c r="N20" s="110">
        <v>0</v>
      </c>
      <c r="O20" s="50">
        <v>9919</v>
      </c>
      <c r="P20" s="43">
        <f>SUM(Q20:S20)</f>
        <v>0</v>
      </c>
      <c r="Q20" s="176">
        <f t="shared" si="13"/>
        <v>0</v>
      </c>
      <c r="R20" s="176">
        <f t="shared" si="13"/>
        <v>0</v>
      </c>
      <c r="S20" s="176"/>
      <c r="T20" s="28">
        <f t="shared" ref="T20:T22" si="15">SUM(U20:Z20)</f>
        <v>5000</v>
      </c>
      <c r="U20" s="28">
        <v>0</v>
      </c>
      <c r="V20" s="28">
        <v>0</v>
      </c>
      <c r="W20" s="28"/>
      <c r="X20" s="28">
        <v>0</v>
      </c>
      <c r="Y20" s="28">
        <v>5000</v>
      </c>
      <c r="Z20" s="30">
        <f t="shared" ref="Z20" si="16">Z21</f>
        <v>0</v>
      </c>
    </row>
    <row r="21" spans="1:26" s="136" customFormat="1" ht="66">
      <c r="A21" s="139">
        <v>3</v>
      </c>
      <c r="B21" s="180" t="s">
        <v>500</v>
      </c>
      <c r="C21" s="178" t="s">
        <v>157</v>
      </c>
      <c r="D21" s="107"/>
      <c r="E21" s="112" t="s">
        <v>507</v>
      </c>
      <c r="F21" s="62" t="s">
        <v>503</v>
      </c>
      <c r="G21" s="176">
        <f t="shared" si="14"/>
        <v>55000</v>
      </c>
      <c r="H21" s="113">
        <v>0</v>
      </c>
      <c r="I21" s="113"/>
      <c r="J21" s="113">
        <v>55000</v>
      </c>
      <c r="K21" s="141">
        <v>0</v>
      </c>
      <c r="L21" s="141">
        <f t="shared" ref="L21:L22" si="17">SUM(M21:O21)</f>
        <v>8300</v>
      </c>
      <c r="M21" s="50"/>
      <c r="N21" s="110">
        <v>0</v>
      </c>
      <c r="O21" s="50">
        <v>8300</v>
      </c>
      <c r="P21" s="43">
        <f>SUM(Q21:S21)</f>
        <v>0</v>
      </c>
      <c r="Q21" s="176">
        <f t="shared" ref="Q21:Q22" si="18">M21</f>
        <v>0</v>
      </c>
      <c r="R21" s="176">
        <f t="shared" ref="R21:R22" si="19">N21</f>
        <v>0</v>
      </c>
      <c r="S21" s="176"/>
      <c r="T21" s="28">
        <f t="shared" si="15"/>
        <v>0</v>
      </c>
      <c r="U21" s="28">
        <v>0</v>
      </c>
      <c r="V21" s="28">
        <v>0</v>
      </c>
      <c r="W21" s="28"/>
      <c r="X21" s="28">
        <v>0</v>
      </c>
      <c r="Y21" s="28"/>
      <c r="Z21" s="30">
        <f t="shared" ref="Z21" si="20">SUM(Z22:Z24)</f>
        <v>0</v>
      </c>
    </row>
    <row r="22" spans="1:26" s="136" customFormat="1" ht="75">
      <c r="A22" s="139">
        <v>4</v>
      </c>
      <c r="B22" s="180" t="s">
        <v>501</v>
      </c>
      <c r="C22" s="178" t="s">
        <v>155</v>
      </c>
      <c r="D22" s="107">
        <v>0</v>
      </c>
      <c r="E22" s="112" t="s">
        <v>506</v>
      </c>
      <c r="F22" s="62" t="s">
        <v>504</v>
      </c>
      <c r="G22" s="176">
        <f t="shared" si="14"/>
        <v>15000</v>
      </c>
      <c r="H22" s="113">
        <v>0</v>
      </c>
      <c r="I22" s="113"/>
      <c r="J22" s="113">
        <v>15000</v>
      </c>
      <c r="K22" s="141">
        <v>0</v>
      </c>
      <c r="L22" s="141">
        <f t="shared" si="17"/>
        <v>6000</v>
      </c>
      <c r="M22" s="50"/>
      <c r="N22" s="110">
        <v>0</v>
      </c>
      <c r="O22" s="50">
        <v>6000</v>
      </c>
      <c r="P22" s="43">
        <f>SUM(Q22:S22)</f>
        <v>0</v>
      </c>
      <c r="Q22" s="176">
        <f t="shared" si="18"/>
        <v>0</v>
      </c>
      <c r="R22" s="176">
        <f t="shared" si="19"/>
        <v>0</v>
      </c>
      <c r="S22" s="176"/>
      <c r="T22" s="28">
        <f t="shared" si="15"/>
        <v>0</v>
      </c>
      <c r="U22" s="28">
        <v>0</v>
      </c>
      <c r="V22" s="28">
        <v>0</v>
      </c>
      <c r="W22" s="28"/>
      <c r="X22" s="28">
        <v>0</v>
      </c>
      <c r="Y22" s="28"/>
      <c r="Z22" s="27">
        <v>0</v>
      </c>
    </row>
    <row r="23" spans="1:26" s="193" customFormat="1" ht="49.15" customHeight="1">
      <c r="A23" s="189" t="s">
        <v>57</v>
      </c>
      <c r="B23" s="190" t="s">
        <v>478</v>
      </c>
      <c r="C23" s="112"/>
      <c r="D23" s="112">
        <v>0</v>
      </c>
      <c r="E23" s="112" t="s">
        <v>338</v>
      </c>
      <c r="F23" s="191"/>
      <c r="G23" s="192">
        <f>G24+G26</f>
        <v>720000</v>
      </c>
      <c r="H23" s="192">
        <f t="shared" ref="H23:I23" si="21">H24+H26</f>
        <v>0</v>
      </c>
      <c r="I23" s="192">
        <f t="shared" si="21"/>
        <v>700000</v>
      </c>
      <c r="J23" s="192">
        <f>J24+J26</f>
        <v>20000</v>
      </c>
      <c r="K23" s="192">
        <f t="shared" ref="K23:S23" si="22">K24+K26</f>
        <v>0</v>
      </c>
      <c r="L23" s="192">
        <f t="shared" si="22"/>
        <v>143780</v>
      </c>
      <c r="M23" s="192">
        <f t="shared" si="22"/>
        <v>0</v>
      </c>
      <c r="N23" s="192">
        <f t="shared" si="22"/>
        <v>0</v>
      </c>
      <c r="O23" s="192">
        <f t="shared" si="22"/>
        <v>143780</v>
      </c>
      <c r="P23" s="192">
        <f t="shared" si="22"/>
        <v>3100</v>
      </c>
      <c r="Q23" s="192">
        <f t="shared" si="22"/>
        <v>0</v>
      </c>
      <c r="R23" s="192">
        <f t="shared" si="22"/>
        <v>0</v>
      </c>
      <c r="S23" s="192">
        <f t="shared" si="22"/>
        <v>3100</v>
      </c>
      <c r="T23" s="192">
        <f t="shared" ref="T23" si="23">T24+T26</f>
        <v>60000</v>
      </c>
      <c r="U23" s="192">
        <f t="shared" ref="U23:Z23" si="24">U24+U26</f>
        <v>0</v>
      </c>
      <c r="V23" s="192">
        <f t="shared" si="24"/>
        <v>0</v>
      </c>
      <c r="W23" s="192">
        <f t="shared" si="24"/>
        <v>8000</v>
      </c>
      <c r="X23" s="192">
        <f t="shared" si="24"/>
        <v>0</v>
      </c>
      <c r="Y23" s="192">
        <f t="shared" si="24"/>
        <v>52000</v>
      </c>
      <c r="Z23" s="192">
        <f t="shared" si="24"/>
        <v>0</v>
      </c>
    </row>
    <row r="24" spans="1:26" s="179" customFormat="1" ht="29.45" customHeight="1">
      <c r="A24" s="189" t="s">
        <v>97</v>
      </c>
      <c r="B24" s="190" t="s">
        <v>257</v>
      </c>
      <c r="C24" s="111"/>
      <c r="D24" s="111"/>
      <c r="E24" s="111"/>
      <c r="F24" s="194"/>
      <c r="G24" s="192">
        <f>G25</f>
        <v>20000</v>
      </c>
      <c r="H24" s="192">
        <f t="shared" ref="H24:S24" si="25">H25</f>
        <v>0</v>
      </c>
      <c r="I24" s="192">
        <f t="shared" si="25"/>
        <v>0</v>
      </c>
      <c r="J24" s="192">
        <f t="shared" si="25"/>
        <v>20000</v>
      </c>
      <c r="K24" s="192">
        <f t="shared" si="25"/>
        <v>0</v>
      </c>
      <c r="L24" s="192">
        <f t="shared" si="25"/>
        <v>550</v>
      </c>
      <c r="M24" s="192">
        <f t="shared" si="25"/>
        <v>0</v>
      </c>
      <c r="N24" s="192">
        <f t="shared" si="25"/>
        <v>0</v>
      </c>
      <c r="O24" s="192">
        <f t="shared" si="25"/>
        <v>550</v>
      </c>
      <c r="P24" s="192">
        <f t="shared" si="25"/>
        <v>1550</v>
      </c>
      <c r="Q24" s="192">
        <f t="shared" si="25"/>
        <v>0</v>
      </c>
      <c r="R24" s="192">
        <f t="shared" si="25"/>
        <v>0</v>
      </c>
      <c r="S24" s="192">
        <f t="shared" si="25"/>
        <v>1550</v>
      </c>
      <c r="T24" s="192">
        <f>T25</f>
        <v>10000</v>
      </c>
      <c r="U24" s="192">
        <f t="shared" ref="U24:Z24" si="26">U25</f>
        <v>0</v>
      </c>
      <c r="V24" s="192">
        <f t="shared" si="26"/>
        <v>0</v>
      </c>
      <c r="W24" s="192">
        <f t="shared" si="26"/>
        <v>3000</v>
      </c>
      <c r="X24" s="192">
        <f t="shared" si="26"/>
        <v>0</v>
      </c>
      <c r="Y24" s="192">
        <f t="shared" si="26"/>
        <v>7000</v>
      </c>
      <c r="Z24" s="192">
        <f t="shared" si="26"/>
        <v>0</v>
      </c>
    </row>
    <row r="25" spans="1:26" s="136" customFormat="1" ht="73.900000000000006" customHeight="1">
      <c r="A25" s="177">
        <v>1</v>
      </c>
      <c r="B25" s="180" t="s">
        <v>390</v>
      </c>
      <c r="C25" s="112" t="s">
        <v>157</v>
      </c>
      <c r="D25" s="112"/>
      <c r="E25" s="112" t="s">
        <v>338</v>
      </c>
      <c r="F25" s="62" t="s">
        <v>480</v>
      </c>
      <c r="G25" s="113">
        <v>20000</v>
      </c>
      <c r="H25" s="110">
        <v>0</v>
      </c>
      <c r="I25" s="110">
        <v>0</v>
      </c>
      <c r="J25" s="113">
        <v>20000</v>
      </c>
      <c r="K25" s="141">
        <v>0</v>
      </c>
      <c r="L25" s="141">
        <f>SUM(M25:O25)</f>
        <v>550</v>
      </c>
      <c r="M25" s="50"/>
      <c r="N25" s="110">
        <v>0</v>
      </c>
      <c r="O25" s="50">
        <v>550</v>
      </c>
      <c r="P25" s="176">
        <f>SUM(Q25:S25)</f>
        <v>1550</v>
      </c>
      <c r="Q25" s="176">
        <f>M25</f>
        <v>0</v>
      </c>
      <c r="R25" s="176">
        <f>N25</f>
        <v>0</v>
      </c>
      <c r="S25" s="176">
        <v>1550</v>
      </c>
      <c r="T25" s="28">
        <f t="shared" ref="T25:T27" si="27">SUM(U25:Z25)</f>
        <v>10000</v>
      </c>
      <c r="U25" s="28">
        <v>0</v>
      </c>
      <c r="V25" s="28">
        <v>0</v>
      </c>
      <c r="W25" s="181">
        <v>3000</v>
      </c>
      <c r="X25" s="28">
        <v>0</v>
      </c>
      <c r="Y25" s="181">
        <v>7000</v>
      </c>
      <c r="Z25" s="50">
        <f t="shared" ref="Z25" si="28">Z26+Z30+Z43+Z45+Z54+Z63+Z70+Z77+Z82+Z89+Z91</f>
        <v>0</v>
      </c>
    </row>
    <row r="26" spans="1:26" s="104" customFormat="1" ht="49.5" customHeight="1">
      <c r="A26" s="127" t="s">
        <v>49</v>
      </c>
      <c r="B26" s="144" t="s">
        <v>391</v>
      </c>
      <c r="C26" s="145"/>
      <c r="D26" s="146"/>
      <c r="E26" s="106"/>
      <c r="F26" s="105"/>
      <c r="G26" s="130">
        <f>G27</f>
        <v>700000</v>
      </c>
      <c r="H26" s="130">
        <f t="shared" ref="H26:O26" si="29">H27</f>
        <v>0</v>
      </c>
      <c r="I26" s="130">
        <f t="shared" si="29"/>
        <v>700000</v>
      </c>
      <c r="J26" s="130">
        <f t="shared" si="29"/>
        <v>0</v>
      </c>
      <c r="K26" s="130">
        <f t="shared" si="29"/>
        <v>0</v>
      </c>
      <c r="L26" s="130">
        <f t="shared" si="29"/>
        <v>143230</v>
      </c>
      <c r="M26" s="130">
        <f t="shared" si="29"/>
        <v>0</v>
      </c>
      <c r="N26" s="130">
        <f t="shared" si="29"/>
        <v>0</v>
      </c>
      <c r="O26" s="130">
        <f t="shared" si="29"/>
        <v>143230</v>
      </c>
      <c r="P26" s="147">
        <f>P27</f>
        <v>1550</v>
      </c>
      <c r="Q26" s="147">
        <f t="shared" ref="Q26:S26" si="30">Q27</f>
        <v>0</v>
      </c>
      <c r="R26" s="147">
        <f t="shared" si="30"/>
        <v>0</v>
      </c>
      <c r="S26" s="147">
        <f t="shared" si="30"/>
        <v>1550</v>
      </c>
      <c r="T26" s="147">
        <f>T27</f>
        <v>50000</v>
      </c>
      <c r="U26" s="147">
        <f t="shared" ref="U26:Z26" si="31">U27</f>
        <v>0</v>
      </c>
      <c r="V26" s="147">
        <f t="shared" si="31"/>
        <v>0</v>
      </c>
      <c r="W26" s="147">
        <f t="shared" si="31"/>
        <v>5000</v>
      </c>
      <c r="X26" s="147">
        <f t="shared" si="31"/>
        <v>0</v>
      </c>
      <c r="Y26" s="147">
        <f t="shared" si="31"/>
        <v>45000</v>
      </c>
      <c r="Z26" s="147">
        <f t="shared" si="31"/>
        <v>0</v>
      </c>
    </row>
    <row r="27" spans="1:26" s="136" customFormat="1" ht="66">
      <c r="A27" s="139">
        <v>1</v>
      </c>
      <c r="B27" s="142" t="s">
        <v>297</v>
      </c>
      <c r="C27" s="107" t="s">
        <v>157</v>
      </c>
      <c r="D27" s="148"/>
      <c r="E27" s="107" t="s">
        <v>479</v>
      </c>
      <c r="F27" s="149" t="s">
        <v>435</v>
      </c>
      <c r="G27" s="150">
        <v>700000</v>
      </c>
      <c r="H27" s="110"/>
      <c r="I27" s="150">
        <v>700000</v>
      </c>
      <c r="J27" s="110"/>
      <c r="K27" s="151"/>
      <c r="L27" s="141">
        <f>SUM(M27:O27)</f>
        <v>143230</v>
      </c>
      <c r="M27" s="152"/>
      <c r="N27" s="151"/>
      <c r="O27" s="152">
        <v>143230</v>
      </c>
      <c r="P27" s="141">
        <f>SUM(Q27:S27)</f>
        <v>1550</v>
      </c>
      <c r="Q27" s="141">
        <f>M27</f>
        <v>0</v>
      </c>
      <c r="R27" s="141">
        <f>N27</f>
        <v>0</v>
      </c>
      <c r="S27" s="141">
        <v>1550</v>
      </c>
      <c r="T27" s="141">
        <f t="shared" si="27"/>
        <v>50000</v>
      </c>
      <c r="U27" s="141">
        <v>0</v>
      </c>
      <c r="V27" s="141"/>
      <c r="W27" s="110">
        <v>5000</v>
      </c>
      <c r="X27" s="110"/>
      <c r="Y27" s="110">
        <v>45000</v>
      </c>
      <c r="Z27" s="152"/>
    </row>
    <row r="28" spans="1:26" s="188" customFormat="1" ht="34.15" customHeight="1">
      <c r="A28" s="182" t="s">
        <v>42</v>
      </c>
      <c r="B28" s="183" t="s">
        <v>392</v>
      </c>
      <c r="C28" s="184"/>
      <c r="D28" s="184"/>
      <c r="E28" s="185"/>
      <c r="F28" s="186"/>
      <c r="G28" s="187">
        <f>G29+G31</f>
        <v>415662</v>
      </c>
      <c r="H28" s="187">
        <f t="shared" ref="H28:S28" si="32">H29+H31</f>
        <v>169793</v>
      </c>
      <c r="I28" s="187">
        <f>I29+I31</f>
        <v>187000</v>
      </c>
      <c r="J28" s="187">
        <f t="shared" si="32"/>
        <v>58869</v>
      </c>
      <c r="K28" s="187">
        <f t="shared" si="32"/>
        <v>0</v>
      </c>
      <c r="L28" s="187">
        <f t="shared" si="32"/>
        <v>146074</v>
      </c>
      <c r="M28" s="187">
        <f t="shared" si="32"/>
        <v>0</v>
      </c>
      <c r="N28" s="187">
        <f t="shared" si="32"/>
        <v>124760</v>
      </c>
      <c r="O28" s="187">
        <f t="shared" si="32"/>
        <v>21314</v>
      </c>
      <c r="P28" s="187">
        <f t="shared" si="32"/>
        <v>198265</v>
      </c>
      <c r="Q28" s="187">
        <f t="shared" si="32"/>
        <v>164197</v>
      </c>
      <c r="R28" s="187">
        <f t="shared" si="32"/>
        <v>0</v>
      </c>
      <c r="S28" s="187">
        <f t="shared" si="32"/>
        <v>34068</v>
      </c>
      <c r="T28" s="187">
        <f>T29+T31</f>
        <v>147200</v>
      </c>
      <c r="U28" s="187">
        <f t="shared" ref="U28:Z28" si="33">U29+U31</f>
        <v>5200</v>
      </c>
      <c r="V28" s="187">
        <f t="shared" si="33"/>
        <v>138000</v>
      </c>
      <c r="W28" s="187">
        <f t="shared" si="33"/>
        <v>0</v>
      </c>
      <c r="X28" s="187">
        <f t="shared" si="33"/>
        <v>0</v>
      </c>
      <c r="Y28" s="187">
        <f t="shared" si="33"/>
        <v>4000</v>
      </c>
      <c r="Z28" s="187">
        <f t="shared" si="33"/>
        <v>0</v>
      </c>
    </row>
    <row r="29" spans="1:26" s="104" customFormat="1" ht="34.15" customHeight="1">
      <c r="A29" s="132" t="s">
        <v>97</v>
      </c>
      <c r="B29" s="138" t="s">
        <v>43</v>
      </c>
      <c r="C29" s="153"/>
      <c r="D29" s="153"/>
      <c r="E29" s="106"/>
      <c r="F29" s="138"/>
      <c r="G29" s="130">
        <f>G30</f>
        <v>213662</v>
      </c>
      <c r="H29" s="130">
        <f t="shared" ref="H29:S29" si="34">H30</f>
        <v>169793</v>
      </c>
      <c r="I29" s="130">
        <f t="shared" si="34"/>
        <v>0</v>
      </c>
      <c r="J29" s="130">
        <f t="shared" si="34"/>
        <v>43869</v>
      </c>
      <c r="K29" s="130">
        <f t="shared" si="34"/>
        <v>0</v>
      </c>
      <c r="L29" s="130">
        <f t="shared" si="34"/>
        <v>146074</v>
      </c>
      <c r="M29" s="130">
        <f t="shared" si="34"/>
        <v>0</v>
      </c>
      <c r="N29" s="130">
        <f t="shared" si="34"/>
        <v>124760</v>
      </c>
      <c r="O29" s="130">
        <f t="shared" si="34"/>
        <v>21314</v>
      </c>
      <c r="P29" s="130">
        <f t="shared" si="34"/>
        <v>198265</v>
      </c>
      <c r="Q29" s="130">
        <f t="shared" si="34"/>
        <v>164197</v>
      </c>
      <c r="R29" s="130">
        <f t="shared" si="34"/>
        <v>0</v>
      </c>
      <c r="S29" s="130">
        <f t="shared" si="34"/>
        <v>34068</v>
      </c>
      <c r="T29" s="130">
        <f>T30</f>
        <v>9200</v>
      </c>
      <c r="U29" s="130">
        <f t="shared" ref="U29:Z29" si="35">U30</f>
        <v>5200</v>
      </c>
      <c r="V29" s="130">
        <f t="shared" si="35"/>
        <v>0</v>
      </c>
      <c r="W29" s="130">
        <f t="shared" si="35"/>
        <v>0</v>
      </c>
      <c r="X29" s="130">
        <f t="shared" si="35"/>
        <v>0</v>
      </c>
      <c r="Y29" s="130">
        <f t="shared" si="35"/>
        <v>4000</v>
      </c>
      <c r="Z29" s="130">
        <f t="shared" si="35"/>
        <v>0</v>
      </c>
    </row>
    <row r="30" spans="1:26" s="136" customFormat="1" ht="132">
      <c r="A30" s="139">
        <v>1</v>
      </c>
      <c r="B30" s="195" t="s">
        <v>254</v>
      </c>
      <c r="C30" s="112" t="s">
        <v>157</v>
      </c>
      <c r="D30" s="196"/>
      <c r="E30" s="112" t="s">
        <v>335</v>
      </c>
      <c r="F30" s="62" t="s">
        <v>340</v>
      </c>
      <c r="G30" s="113">
        <v>213662</v>
      </c>
      <c r="H30" s="113">
        <v>169793</v>
      </c>
      <c r="I30" s="113">
        <v>0</v>
      </c>
      <c r="J30" s="113">
        <v>43869</v>
      </c>
      <c r="K30" s="113">
        <v>0</v>
      </c>
      <c r="L30" s="141">
        <f>SUM(M30:O30)</f>
        <v>146074</v>
      </c>
      <c r="M30" s="152"/>
      <c r="N30" s="110">
        <v>124760</v>
      </c>
      <c r="O30" s="152">
        <v>21314</v>
      </c>
      <c r="P30" s="176">
        <f>SUM(Q30:S30)</f>
        <v>198265</v>
      </c>
      <c r="Q30" s="176">
        <v>164197</v>
      </c>
      <c r="R30" s="176"/>
      <c r="S30" s="176">
        <v>34068</v>
      </c>
      <c r="T30" s="152">
        <f>SUM(U30:Z30)</f>
        <v>9200</v>
      </c>
      <c r="U30" s="198">
        <f>3640+1560</f>
        <v>5200</v>
      </c>
      <c r="V30" s="110">
        <v>0</v>
      </c>
      <c r="W30" s="110"/>
      <c r="X30" s="110">
        <v>0</v>
      </c>
      <c r="Y30" s="197">
        <v>4000</v>
      </c>
      <c r="Z30" s="152">
        <f t="shared" ref="Z30" si="36">SUM(Z31:Z42)</f>
        <v>0</v>
      </c>
    </row>
    <row r="31" spans="1:26" s="104" customFormat="1" ht="58.9" customHeight="1">
      <c r="A31" s="127" t="s">
        <v>49</v>
      </c>
      <c r="B31" s="199" t="s">
        <v>261</v>
      </c>
      <c r="C31" s="112" t="s">
        <v>157</v>
      </c>
      <c r="D31" s="106"/>
      <c r="E31" s="106"/>
      <c r="F31" s="138"/>
      <c r="G31" s="31">
        <f>G32+G33</f>
        <v>202000</v>
      </c>
      <c r="H31" s="29"/>
      <c r="I31" s="31">
        <v>187000</v>
      </c>
      <c r="J31" s="31">
        <v>15000</v>
      </c>
      <c r="K31" s="130"/>
      <c r="L31" s="130">
        <f>SUM(M31:O31)</f>
        <v>0</v>
      </c>
      <c r="M31" s="147"/>
      <c r="N31" s="130"/>
      <c r="O31" s="147">
        <v>0</v>
      </c>
      <c r="P31" s="130">
        <f>SUM(Q31:S31)</f>
        <v>0</v>
      </c>
      <c r="Q31" s="130">
        <f t="shared" ref="Q31:S31" si="37">M31</f>
        <v>0</v>
      </c>
      <c r="R31" s="130">
        <f t="shared" si="37"/>
        <v>0</v>
      </c>
      <c r="S31" s="130">
        <f t="shared" si="37"/>
        <v>0</v>
      </c>
      <c r="T31" s="192">
        <f>T32+T33</f>
        <v>138000</v>
      </c>
      <c r="U31" s="192">
        <f t="shared" ref="U31:Z31" si="38">U32+U33</f>
        <v>0</v>
      </c>
      <c r="V31" s="192">
        <f t="shared" si="38"/>
        <v>138000</v>
      </c>
      <c r="W31" s="130">
        <f t="shared" si="38"/>
        <v>0</v>
      </c>
      <c r="X31" s="130">
        <f t="shared" si="38"/>
        <v>0</v>
      </c>
      <c r="Y31" s="130">
        <f t="shared" si="38"/>
        <v>0</v>
      </c>
      <c r="Z31" s="130">
        <f t="shared" si="38"/>
        <v>0</v>
      </c>
    </row>
    <row r="32" spans="1:26" s="104" customFormat="1" ht="76.5" customHeight="1">
      <c r="A32" s="201">
        <v>1</v>
      </c>
      <c r="B32" s="199" t="s">
        <v>508</v>
      </c>
      <c r="C32" s="112" t="s">
        <v>157</v>
      </c>
      <c r="D32" s="106"/>
      <c r="E32" s="106"/>
      <c r="F32" s="62" t="s">
        <v>510</v>
      </c>
      <c r="G32" s="31">
        <f>H32+I32+J32+K32</f>
        <v>161000</v>
      </c>
      <c r="H32" s="29"/>
      <c r="I32" s="200">
        <v>147000</v>
      </c>
      <c r="J32" s="200">
        <v>14000</v>
      </c>
      <c r="K32" s="130"/>
      <c r="L32" s="130"/>
      <c r="M32" s="147"/>
      <c r="N32" s="130"/>
      <c r="O32" s="147"/>
      <c r="P32" s="29">
        <f>Q32+R32+S32</f>
        <v>40000</v>
      </c>
      <c r="Q32" s="29"/>
      <c r="R32" s="28">
        <v>40000</v>
      </c>
      <c r="S32" s="130"/>
      <c r="T32" s="29">
        <f>U32+V32+W32+X32+Y32+Z32</f>
        <v>107000</v>
      </c>
      <c r="U32" s="29"/>
      <c r="V32" s="200">
        <v>107000</v>
      </c>
      <c r="W32" s="130"/>
      <c r="X32" s="130"/>
      <c r="Y32" s="130"/>
      <c r="Z32" s="147"/>
    </row>
    <row r="33" spans="1:26" s="104" customFormat="1" ht="70.5" customHeight="1">
      <c r="A33" s="201">
        <v>2</v>
      </c>
      <c r="B33" s="199" t="s">
        <v>509</v>
      </c>
      <c r="C33" s="112" t="s">
        <v>155</v>
      </c>
      <c r="D33" s="106"/>
      <c r="E33" s="106"/>
      <c r="F33" s="62" t="s">
        <v>511</v>
      </c>
      <c r="G33" s="31">
        <f>H33+I33+J33+K33</f>
        <v>41000</v>
      </c>
      <c r="H33" s="29"/>
      <c r="I33" s="200">
        <v>40000</v>
      </c>
      <c r="J33" s="200">
        <v>1000</v>
      </c>
      <c r="K33" s="130"/>
      <c r="L33" s="130"/>
      <c r="M33" s="147"/>
      <c r="N33" s="130"/>
      <c r="O33" s="147"/>
      <c r="P33" s="29">
        <f>Q33+R33+S33</f>
        <v>9000</v>
      </c>
      <c r="Q33" s="29"/>
      <c r="R33" s="28">
        <v>9000</v>
      </c>
      <c r="S33" s="130"/>
      <c r="T33" s="29">
        <f>U33+V33+W33+X33+Y33+Z33</f>
        <v>31000</v>
      </c>
      <c r="U33" s="29"/>
      <c r="V33" s="200">
        <v>31000</v>
      </c>
      <c r="W33" s="130"/>
      <c r="X33" s="130"/>
      <c r="Y33" s="130"/>
      <c r="Z33" s="147"/>
    </row>
    <row r="34" spans="1:26" s="104" customFormat="1">
      <c r="A34" s="189" t="s">
        <v>393</v>
      </c>
      <c r="B34" s="202" t="s">
        <v>394</v>
      </c>
      <c r="C34" s="106"/>
      <c r="D34" s="106"/>
      <c r="E34" s="106"/>
      <c r="F34" s="155"/>
      <c r="G34" s="130">
        <f>G35+G41+G43</f>
        <v>83610</v>
      </c>
      <c r="H34" s="130">
        <f t="shared" ref="H34:S34" si="39">H35+H41+H43</f>
        <v>0</v>
      </c>
      <c r="I34" s="130">
        <f t="shared" si="39"/>
        <v>0</v>
      </c>
      <c r="J34" s="130">
        <f t="shared" si="39"/>
        <v>41805</v>
      </c>
      <c r="K34" s="130">
        <f t="shared" si="39"/>
        <v>41805</v>
      </c>
      <c r="L34" s="130">
        <f t="shared" si="39"/>
        <v>26085</v>
      </c>
      <c r="M34" s="130">
        <f t="shared" si="39"/>
        <v>0</v>
      </c>
      <c r="N34" s="130">
        <f t="shared" si="39"/>
        <v>0</v>
      </c>
      <c r="O34" s="130">
        <f t="shared" si="39"/>
        <v>26085</v>
      </c>
      <c r="P34" s="130">
        <f t="shared" si="39"/>
        <v>26085</v>
      </c>
      <c r="Q34" s="130">
        <f t="shared" si="39"/>
        <v>0</v>
      </c>
      <c r="R34" s="130">
        <f t="shared" si="39"/>
        <v>0</v>
      </c>
      <c r="S34" s="130">
        <f t="shared" si="39"/>
        <v>26085</v>
      </c>
      <c r="T34" s="130">
        <f>T35+T41+T43</f>
        <v>13415</v>
      </c>
      <c r="U34" s="130">
        <f t="shared" ref="U34:Z34" si="40">U35+U41+U43</f>
        <v>0</v>
      </c>
      <c r="V34" s="130">
        <f t="shared" si="40"/>
        <v>0</v>
      </c>
      <c r="W34" s="130">
        <f t="shared" si="40"/>
        <v>13415</v>
      </c>
      <c r="X34" s="130">
        <f t="shared" si="40"/>
        <v>0</v>
      </c>
      <c r="Y34" s="130">
        <f t="shared" si="40"/>
        <v>0</v>
      </c>
      <c r="Z34" s="130">
        <f t="shared" si="40"/>
        <v>0</v>
      </c>
    </row>
    <row r="35" spans="1:26" s="104" customFormat="1" ht="51.75" customHeight="1">
      <c r="A35" s="132" t="s">
        <v>97</v>
      </c>
      <c r="B35" s="199" t="s">
        <v>512</v>
      </c>
      <c r="C35" s="153"/>
      <c r="D35" s="106"/>
      <c r="E35" s="106"/>
      <c r="F35" s="108"/>
      <c r="G35" s="130">
        <f>H35+I35+J35+K35</f>
        <v>31000</v>
      </c>
      <c r="H35" s="130">
        <f t="shared" ref="H35:S35" si="41">H40</f>
        <v>0</v>
      </c>
      <c r="I35" s="130">
        <f t="shared" si="41"/>
        <v>0</v>
      </c>
      <c r="J35" s="130">
        <f t="shared" si="41"/>
        <v>15500</v>
      </c>
      <c r="K35" s="130">
        <f t="shared" si="41"/>
        <v>15500</v>
      </c>
      <c r="L35" s="130">
        <f t="shared" si="41"/>
        <v>14285</v>
      </c>
      <c r="M35" s="130">
        <f t="shared" si="41"/>
        <v>0</v>
      </c>
      <c r="N35" s="130">
        <f t="shared" si="41"/>
        <v>0</v>
      </c>
      <c r="O35" s="130">
        <f t="shared" si="41"/>
        <v>14285</v>
      </c>
      <c r="P35" s="130">
        <f t="shared" si="41"/>
        <v>14285</v>
      </c>
      <c r="Q35" s="130">
        <f t="shared" si="41"/>
        <v>0</v>
      </c>
      <c r="R35" s="130">
        <f t="shared" si="41"/>
        <v>0</v>
      </c>
      <c r="S35" s="130">
        <f t="shared" si="41"/>
        <v>14285</v>
      </c>
      <c r="T35" s="130">
        <f t="shared" ref="T35:T42" si="42">SUM(U35:Z35)</f>
        <v>7215</v>
      </c>
      <c r="U35" s="130">
        <v>0</v>
      </c>
      <c r="V35" s="130">
        <f t="shared" ref="V35" si="43">V40</f>
        <v>0</v>
      </c>
      <c r="W35" s="130">
        <f t="shared" ref="W35:Y35" si="44">W40</f>
        <v>7215</v>
      </c>
      <c r="X35" s="130">
        <f t="shared" si="44"/>
        <v>0</v>
      </c>
      <c r="Y35" s="130">
        <f t="shared" si="44"/>
        <v>0</v>
      </c>
      <c r="Z35" s="147"/>
    </row>
    <row r="36" spans="1:26" s="104" customFormat="1" ht="51.75" customHeight="1">
      <c r="A36" s="132"/>
      <c r="B36" s="203" t="s">
        <v>513</v>
      </c>
      <c r="C36" s="153"/>
      <c r="D36" s="106"/>
      <c r="E36" s="106"/>
      <c r="F36" s="108"/>
      <c r="G36" s="130"/>
      <c r="H36" s="130"/>
      <c r="I36" s="130"/>
      <c r="J36" s="130"/>
      <c r="K36" s="130"/>
      <c r="L36" s="130"/>
      <c r="M36" s="130"/>
      <c r="N36" s="130"/>
      <c r="O36" s="130"/>
      <c r="P36" s="130"/>
      <c r="Q36" s="130"/>
      <c r="R36" s="130"/>
      <c r="S36" s="130"/>
      <c r="T36" s="130"/>
      <c r="U36" s="130"/>
      <c r="V36" s="130"/>
      <c r="W36" s="130"/>
      <c r="X36" s="130"/>
      <c r="Y36" s="130"/>
      <c r="Z36" s="147"/>
    </row>
    <row r="37" spans="1:26" s="104" customFormat="1" ht="51.75" customHeight="1">
      <c r="A37" s="132"/>
      <c r="B37" s="204" t="s">
        <v>514</v>
      </c>
      <c r="C37" s="153"/>
      <c r="D37" s="106"/>
      <c r="E37" s="106"/>
      <c r="F37" s="108"/>
      <c r="G37" s="29">
        <f>H37+I37+J37+K37</f>
        <v>13377</v>
      </c>
      <c r="H37" s="29"/>
      <c r="I37" s="28">
        <v>12560</v>
      </c>
      <c r="J37" s="28">
        <v>300</v>
      </c>
      <c r="K37" s="28">
        <v>517</v>
      </c>
      <c r="L37" s="130"/>
      <c r="M37" s="130"/>
      <c r="N37" s="130"/>
      <c r="O37" s="130"/>
      <c r="P37" s="192">
        <f>Q37+R37+S37</f>
        <v>2381</v>
      </c>
      <c r="Q37" s="130"/>
      <c r="R37" s="28">
        <v>2381</v>
      </c>
      <c r="S37" s="130"/>
      <c r="T37" s="192">
        <f>U37+V37+W37+X37+Y37+Z37</f>
        <v>5606</v>
      </c>
      <c r="U37" s="130"/>
      <c r="V37" s="28">
        <v>5414</v>
      </c>
      <c r="W37" s="28">
        <v>192</v>
      </c>
      <c r="X37" s="130"/>
      <c r="Y37" s="130"/>
      <c r="Z37" s="147"/>
    </row>
    <row r="38" spans="1:26" s="104" customFormat="1" ht="51.75" customHeight="1">
      <c r="A38" s="132"/>
      <c r="B38" s="204" t="s">
        <v>144</v>
      </c>
      <c r="C38" s="153"/>
      <c r="D38" s="106"/>
      <c r="E38" s="106"/>
      <c r="F38" s="108"/>
      <c r="G38" s="29">
        <f t="shared" ref="G38:G39" si="45">H38+I38+J38+K38</f>
        <v>2192</v>
      </c>
      <c r="H38" s="29"/>
      <c r="I38" s="28">
        <v>2082</v>
      </c>
      <c r="J38" s="28">
        <v>62</v>
      </c>
      <c r="K38" s="28">
        <v>48</v>
      </c>
      <c r="L38" s="130"/>
      <c r="M38" s="130"/>
      <c r="N38" s="130"/>
      <c r="O38" s="130"/>
      <c r="P38" s="192">
        <f t="shared" ref="P38:P39" si="46">Q38+R38+S38</f>
        <v>2082</v>
      </c>
      <c r="Q38" s="130"/>
      <c r="R38" s="28">
        <v>2082</v>
      </c>
      <c r="S38" s="130"/>
      <c r="T38" s="192">
        <f t="shared" ref="T38:T39" si="47">U38+V38+W38+X38+Y38+Z38</f>
        <v>62</v>
      </c>
      <c r="U38" s="130"/>
      <c r="V38" s="28"/>
      <c r="W38" s="28">
        <v>62</v>
      </c>
      <c r="X38" s="130"/>
      <c r="Y38" s="130"/>
      <c r="Z38" s="147"/>
    </row>
    <row r="39" spans="1:26" s="104" customFormat="1" ht="51.75" customHeight="1">
      <c r="A39" s="132"/>
      <c r="B39" s="205" t="s">
        <v>142</v>
      </c>
      <c r="C39" s="153"/>
      <c r="D39" s="106"/>
      <c r="E39" s="106"/>
      <c r="F39" s="108"/>
      <c r="G39" s="29">
        <f t="shared" si="45"/>
        <v>5678</v>
      </c>
      <c r="H39" s="29"/>
      <c r="I39" s="28">
        <v>5342</v>
      </c>
      <c r="J39" s="28"/>
      <c r="K39" s="28">
        <v>336</v>
      </c>
      <c r="L39" s="130"/>
      <c r="M39" s="130"/>
      <c r="N39" s="130"/>
      <c r="O39" s="130"/>
      <c r="P39" s="192">
        <f t="shared" si="46"/>
        <v>2712</v>
      </c>
      <c r="Q39" s="130"/>
      <c r="R39" s="28">
        <v>2712</v>
      </c>
      <c r="S39" s="130"/>
      <c r="T39" s="192">
        <f t="shared" si="47"/>
        <v>2630</v>
      </c>
      <c r="U39" s="130"/>
      <c r="V39" s="28">
        <v>2630</v>
      </c>
      <c r="W39" s="130"/>
      <c r="X39" s="130"/>
      <c r="Y39" s="130"/>
      <c r="Z39" s="147"/>
    </row>
    <row r="40" spans="1:26" s="136" customFormat="1" ht="66">
      <c r="A40" s="139">
        <v>1</v>
      </c>
      <c r="B40" s="156" t="s">
        <v>259</v>
      </c>
      <c r="C40" s="148" t="s">
        <v>160</v>
      </c>
      <c r="D40" s="107"/>
      <c r="E40" s="107"/>
      <c r="F40" s="55" t="s">
        <v>436</v>
      </c>
      <c r="G40" s="110">
        <v>31000</v>
      </c>
      <c r="H40" s="110">
        <v>0</v>
      </c>
      <c r="I40" s="110">
        <v>0</v>
      </c>
      <c r="J40" s="110">
        <v>15500</v>
      </c>
      <c r="K40" s="141">
        <v>15500</v>
      </c>
      <c r="L40" s="141">
        <f>SUM(M40:O40)</f>
        <v>14285</v>
      </c>
      <c r="M40" s="152"/>
      <c r="N40" s="110">
        <v>0</v>
      </c>
      <c r="O40" s="152">
        <v>14285</v>
      </c>
      <c r="P40" s="141">
        <f>SUM(Q40:S40)</f>
        <v>14285</v>
      </c>
      <c r="Q40" s="141">
        <f>M40</f>
        <v>0</v>
      </c>
      <c r="R40" s="141">
        <f>N40</f>
        <v>0</v>
      </c>
      <c r="S40" s="141">
        <f>O40</f>
        <v>14285</v>
      </c>
      <c r="T40" s="141">
        <f>SUM(U40:Z40)</f>
        <v>7215</v>
      </c>
      <c r="U40" s="141">
        <v>0</v>
      </c>
      <c r="V40" s="141">
        <v>0</v>
      </c>
      <c r="W40" s="141">
        <v>7215</v>
      </c>
      <c r="X40" s="141">
        <v>0</v>
      </c>
      <c r="Y40" s="141">
        <v>0</v>
      </c>
      <c r="Z40" s="152"/>
    </row>
    <row r="41" spans="1:26" s="104" customFormat="1" ht="37.5">
      <c r="A41" s="132" t="s">
        <v>49</v>
      </c>
      <c r="B41" s="108" t="s">
        <v>395</v>
      </c>
      <c r="C41" s="153"/>
      <c r="D41" s="106">
        <v>0</v>
      </c>
      <c r="E41" s="106"/>
      <c r="F41" s="106"/>
      <c r="G41" s="130">
        <f t="shared" ref="G41:K41" si="48">G42</f>
        <v>14990</v>
      </c>
      <c r="H41" s="130">
        <f t="shared" si="48"/>
        <v>0</v>
      </c>
      <c r="I41" s="130">
        <f t="shared" si="48"/>
        <v>0</v>
      </c>
      <c r="J41" s="130">
        <f t="shared" si="48"/>
        <v>7495</v>
      </c>
      <c r="K41" s="130">
        <f t="shared" si="48"/>
        <v>7495</v>
      </c>
      <c r="L41" s="147">
        <v>0</v>
      </c>
      <c r="M41" s="147"/>
      <c r="N41" s="130">
        <f t="shared" ref="N41" si="49">N42</f>
        <v>0</v>
      </c>
      <c r="O41" s="147">
        <v>0</v>
      </c>
      <c r="P41" s="147">
        <v>0</v>
      </c>
      <c r="Q41" s="147"/>
      <c r="R41" s="147">
        <v>0</v>
      </c>
      <c r="S41" s="147">
        <v>0</v>
      </c>
      <c r="T41" s="130">
        <f t="shared" si="42"/>
        <v>3000</v>
      </c>
      <c r="U41" s="130">
        <v>0</v>
      </c>
      <c r="V41" s="130">
        <f t="shared" ref="V41" si="50">V42</f>
        <v>0</v>
      </c>
      <c r="W41" s="130">
        <f t="shared" ref="W41:Y41" si="51">W42</f>
        <v>3000</v>
      </c>
      <c r="X41" s="130">
        <f t="shared" si="51"/>
        <v>0</v>
      </c>
      <c r="Y41" s="130">
        <f t="shared" si="51"/>
        <v>0</v>
      </c>
      <c r="Z41" s="147">
        <v>0</v>
      </c>
    </row>
    <row r="42" spans="1:26" s="136" customFormat="1" ht="37.5">
      <c r="A42" s="139">
        <v>1</v>
      </c>
      <c r="B42" s="156" t="s">
        <v>396</v>
      </c>
      <c r="C42" s="148" t="s">
        <v>155</v>
      </c>
      <c r="D42" s="107"/>
      <c r="E42" s="107" t="s">
        <v>335</v>
      </c>
      <c r="F42" s="55" t="s">
        <v>437</v>
      </c>
      <c r="G42" s="141">
        <v>14990</v>
      </c>
      <c r="H42" s="141">
        <v>0</v>
      </c>
      <c r="I42" s="141">
        <v>0</v>
      </c>
      <c r="J42" s="141">
        <v>7495</v>
      </c>
      <c r="K42" s="141">
        <v>7495</v>
      </c>
      <c r="L42" s="141">
        <f>SUM(M42:O42)</f>
        <v>0</v>
      </c>
      <c r="M42" s="152"/>
      <c r="N42" s="141">
        <v>0</v>
      </c>
      <c r="O42" s="152">
        <v>0</v>
      </c>
      <c r="P42" s="141">
        <f>SUM(Q42:S42)</f>
        <v>0</v>
      </c>
      <c r="Q42" s="141">
        <f>M42</f>
        <v>0</v>
      </c>
      <c r="R42" s="141">
        <f>N42</f>
        <v>0</v>
      </c>
      <c r="S42" s="141">
        <f>O42</f>
        <v>0</v>
      </c>
      <c r="T42" s="141">
        <f t="shared" si="42"/>
        <v>3000</v>
      </c>
      <c r="U42" s="141">
        <v>0</v>
      </c>
      <c r="V42" s="141">
        <v>0</v>
      </c>
      <c r="W42" s="141">
        <v>3000</v>
      </c>
      <c r="X42" s="141">
        <v>0</v>
      </c>
      <c r="Y42" s="141">
        <v>0</v>
      </c>
      <c r="Z42" s="152"/>
    </row>
    <row r="43" spans="1:26" s="104" customFormat="1" ht="37.5">
      <c r="A43" s="132" t="s">
        <v>22</v>
      </c>
      <c r="B43" s="108" t="s">
        <v>256</v>
      </c>
      <c r="C43" s="145"/>
      <c r="D43" s="153"/>
      <c r="E43" s="106"/>
      <c r="F43" s="106"/>
      <c r="G43" s="130">
        <f t="shared" ref="G43:K43" si="52">G44</f>
        <v>37620</v>
      </c>
      <c r="H43" s="130">
        <f t="shared" si="52"/>
        <v>0</v>
      </c>
      <c r="I43" s="130">
        <f t="shared" si="52"/>
        <v>0</v>
      </c>
      <c r="J43" s="130">
        <f t="shared" si="52"/>
        <v>18810</v>
      </c>
      <c r="K43" s="130">
        <f t="shared" si="52"/>
        <v>18810</v>
      </c>
      <c r="L43" s="147">
        <f t="shared" ref="L43:Z43" si="53">SUM(L44:L44)</f>
        <v>11800</v>
      </c>
      <c r="M43" s="147"/>
      <c r="N43" s="130">
        <f t="shared" ref="N43" si="54">N44</f>
        <v>0</v>
      </c>
      <c r="O43" s="147">
        <v>11800</v>
      </c>
      <c r="P43" s="147">
        <f t="shared" si="53"/>
        <v>11800</v>
      </c>
      <c r="Q43" s="147">
        <f t="shared" si="53"/>
        <v>0</v>
      </c>
      <c r="R43" s="147">
        <f t="shared" si="53"/>
        <v>0</v>
      </c>
      <c r="S43" s="147">
        <f t="shared" si="53"/>
        <v>11800</v>
      </c>
      <c r="T43" s="147">
        <f t="shared" si="53"/>
        <v>3200</v>
      </c>
      <c r="U43" s="130">
        <v>0</v>
      </c>
      <c r="V43" s="130">
        <f t="shared" ref="V43" si="55">V44</f>
        <v>0</v>
      </c>
      <c r="W43" s="130">
        <f t="shared" ref="W43:Y43" si="56">W44</f>
        <v>3200</v>
      </c>
      <c r="X43" s="130">
        <f t="shared" si="56"/>
        <v>0</v>
      </c>
      <c r="Y43" s="130">
        <f t="shared" si="56"/>
        <v>0</v>
      </c>
      <c r="Z43" s="147">
        <f t="shared" si="53"/>
        <v>0</v>
      </c>
    </row>
    <row r="44" spans="1:26" s="136" customFormat="1" ht="66">
      <c r="A44" s="134">
        <v>1</v>
      </c>
      <c r="B44" s="155" t="s">
        <v>397</v>
      </c>
      <c r="C44" s="157" t="s">
        <v>168</v>
      </c>
      <c r="D44" s="148"/>
      <c r="E44" s="107"/>
      <c r="F44" s="55" t="s">
        <v>438</v>
      </c>
      <c r="G44" s="110">
        <v>37620</v>
      </c>
      <c r="H44" s="110">
        <v>0</v>
      </c>
      <c r="I44" s="110">
        <v>0</v>
      </c>
      <c r="J44" s="110">
        <v>18810</v>
      </c>
      <c r="K44" s="141">
        <v>18810</v>
      </c>
      <c r="L44" s="141">
        <f>SUM(M44:O44)</f>
        <v>11800</v>
      </c>
      <c r="M44" s="152"/>
      <c r="N44" s="110">
        <v>0</v>
      </c>
      <c r="O44" s="152">
        <v>11800</v>
      </c>
      <c r="P44" s="141">
        <f>SUM(Q44:S44)</f>
        <v>11800</v>
      </c>
      <c r="Q44" s="141">
        <f>M44</f>
        <v>0</v>
      </c>
      <c r="R44" s="141">
        <f>N44</f>
        <v>0</v>
      </c>
      <c r="S44" s="141">
        <f>O44</f>
        <v>11800</v>
      </c>
      <c r="T44" s="141">
        <f t="shared" ref="T44" si="57">SUM(U44:Z44)</f>
        <v>3200</v>
      </c>
      <c r="U44" s="141">
        <v>0</v>
      </c>
      <c r="V44" s="141">
        <v>0</v>
      </c>
      <c r="W44" s="141">
        <v>3200</v>
      </c>
      <c r="X44" s="141">
        <v>0</v>
      </c>
      <c r="Y44" s="141">
        <v>0</v>
      </c>
      <c r="Z44" s="152"/>
    </row>
    <row r="45" spans="1:26" s="104" customFormat="1" ht="31.15" customHeight="1">
      <c r="A45" s="132" t="s">
        <v>398</v>
      </c>
      <c r="B45" s="108" t="s">
        <v>260</v>
      </c>
      <c r="C45" s="145"/>
      <c r="D45" s="153"/>
      <c r="E45" s="106"/>
      <c r="F45" s="134"/>
      <c r="G45" s="130">
        <f>G46</f>
        <v>38095</v>
      </c>
      <c r="H45" s="130">
        <f t="shared" ref="H45:S46" si="58">H46</f>
        <v>31395</v>
      </c>
      <c r="I45" s="130" t="str">
        <f t="shared" si="58"/>
        <v/>
      </c>
      <c r="J45" s="130">
        <f t="shared" si="58"/>
        <v>6700</v>
      </c>
      <c r="K45" s="130">
        <f t="shared" si="58"/>
        <v>0</v>
      </c>
      <c r="L45" s="130">
        <f t="shared" si="58"/>
        <v>23378</v>
      </c>
      <c r="M45" s="130">
        <f t="shared" si="58"/>
        <v>0</v>
      </c>
      <c r="N45" s="130">
        <f t="shared" si="58"/>
        <v>19726</v>
      </c>
      <c r="O45" s="130">
        <f t="shared" si="58"/>
        <v>3652</v>
      </c>
      <c r="P45" s="130">
        <f t="shared" si="58"/>
        <v>23378</v>
      </c>
      <c r="Q45" s="130">
        <f t="shared" si="58"/>
        <v>0</v>
      </c>
      <c r="R45" s="130">
        <f t="shared" si="58"/>
        <v>19726</v>
      </c>
      <c r="S45" s="130">
        <f t="shared" si="58"/>
        <v>3652</v>
      </c>
      <c r="T45" s="147">
        <f>T46</f>
        <v>23378</v>
      </c>
      <c r="U45" s="147">
        <f t="shared" ref="U45:Y46" si="59">U46</f>
        <v>19726</v>
      </c>
      <c r="V45" s="147">
        <f t="shared" si="59"/>
        <v>0</v>
      </c>
      <c r="W45" s="147">
        <f t="shared" si="59"/>
        <v>1000</v>
      </c>
      <c r="X45" s="147">
        <f t="shared" si="59"/>
        <v>0</v>
      </c>
      <c r="Y45" s="147">
        <f t="shared" si="59"/>
        <v>2652</v>
      </c>
      <c r="Z45" s="147">
        <f>Z46</f>
        <v>0</v>
      </c>
    </row>
    <row r="46" spans="1:26" s="104" customFormat="1" ht="40.15" customHeight="1">
      <c r="A46" s="132" t="s">
        <v>97</v>
      </c>
      <c r="B46" s="138" t="s">
        <v>43</v>
      </c>
      <c r="C46" s="153"/>
      <c r="D46" s="153"/>
      <c r="E46" s="106"/>
      <c r="F46" s="138"/>
      <c r="G46" s="130">
        <f>G47</f>
        <v>38095</v>
      </c>
      <c r="H46" s="130">
        <f t="shared" si="58"/>
        <v>31395</v>
      </c>
      <c r="I46" s="130" t="str">
        <f t="shared" si="58"/>
        <v/>
      </c>
      <c r="J46" s="130">
        <f t="shared" si="58"/>
        <v>6700</v>
      </c>
      <c r="K46" s="130">
        <f t="shared" si="58"/>
        <v>0</v>
      </c>
      <c r="L46" s="130">
        <f t="shared" si="58"/>
        <v>23378</v>
      </c>
      <c r="M46" s="130">
        <f t="shared" si="58"/>
        <v>0</v>
      </c>
      <c r="N46" s="130">
        <f t="shared" si="58"/>
        <v>19726</v>
      </c>
      <c r="O46" s="130">
        <f t="shared" si="58"/>
        <v>3652</v>
      </c>
      <c r="P46" s="130">
        <f t="shared" si="58"/>
        <v>23378</v>
      </c>
      <c r="Q46" s="130">
        <f t="shared" si="58"/>
        <v>0</v>
      </c>
      <c r="R46" s="130">
        <f t="shared" si="58"/>
        <v>19726</v>
      </c>
      <c r="S46" s="130">
        <f t="shared" si="58"/>
        <v>3652</v>
      </c>
      <c r="T46" s="130">
        <f>T47</f>
        <v>23378</v>
      </c>
      <c r="U46" s="130">
        <f t="shared" si="59"/>
        <v>19726</v>
      </c>
      <c r="V46" s="130">
        <f t="shared" si="59"/>
        <v>0</v>
      </c>
      <c r="W46" s="130">
        <f t="shared" si="59"/>
        <v>1000</v>
      </c>
      <c r="X46" s="130">
        <f t="shared" si="59"/>
        <v>0</v>
      </c>
      <c r="Y46" s="130">
        <f t="shared" si="59"/>
        <v>2652</v>
      </c>
      <c r="Z46" s="130">
        <f t="shared" ref="Z46" si="60">Z47</f>
        <v>0</v>
      </c>
    </row>
    <row r="47" spans="1:26" s="136" customFormat="1" ht="99">
      <c r="A47" s="139">
        <v>1</v>
      </c>
      <c r="B47" s="154" t="s">
        <v>399</v>
      </c>
      <c r="C47" s="148" t="s">
        <v>157</v>
      </c>
      <c r="D47" s="148"/>
      <c r="E47" s="107"/>
      <c r="F47" s="158" t="s">
        <v>344</v>
      </c>
      <c r="G47" s="110">
        <v>38095</v>
      </c>
      <c r="H47" s="110">
        <v>31395</v>
      </c>
      <c r="I47" s="110" t="s">
        <v>336</v>
      </c>
      <c r="J47" s="110">
        <v>6700</v>
      </c>
      <c r="K47" s="141">
        <v>0</v>
      </c>
      <c r="L47" s="141">
        <f>SUM(M47:O47)</f>
        <v>23378</v>
      </c>
      <c r="M47" s="152"/>
      <c r="N47" s="159">
        <v>19726</v>
      </c>
      <c r="O47" s="152">
        <v>3652</v>
      </c>
      <c r="P47" s="141">
        <f>SUM(Q47:S47)</f>
        <v>23378</v>
      </c>
      <c r="Q47" s="141">
        <f>M47</f>
        <v>0</v>
      </c>
      <c r="R47" s="141">
        <f>N47</f>
        <v>19726</v>
      </c>
      <c r="S47" s="141">
        <f>O47</f>
        <v>3652</v>
      </c>
      <c r="T47" s="141">
        <f>SUM(U47:Z47)</f>
        <v>23378</v>
      </c>
      <c r="U47" s="141">
        <v>19726</v>
      </c>
      <c r="V47" s="141">
        <v>0</v>
      </c>
      <c r="W47" s="141">
        <v>1000</v>
      </c>
      <c r="X47" s="141">
        <v>0</v>
      </c>
      <c r="Y47" s="141">
        <v>2652</v>
      </c>
      <c r="Z47" s="152"/>
    </row>
    <row r="48" spans="1:26" s="104" customFormat="1" ht="43.15" customHeight="1">
      <c r="A48" s="132" t="s">
        <v>400</v>
      </c>
      <c r="B48" s="108" t="s">
        <v>401</v>
      </c>
      <c r="C48" s="153"/>
      <c r="D48" s="153"/>
      <c r="E48" s="106"/>
      <c r="F48" s="155"/>
      <c r="G48" s="109">
        <f>SUM(G49,G60,G74,G76,G78,G80,G83,G85,G87,G89,G92,G96,G98,G103,G101,G107,G111,G112,G113,G114)</f>
        <v>13533537.279999999</v>
      </c>
      <c r="H48" s="109">
        <f t="shared" ref="H48:S48" si="61">SUM(H49,H60,H74,H76,H78,H80,H83,H85,H87,H89,H92,H96,H98,H103,H101,H107,H111,H112,H113,H114)</f>
        <v>1459489.6</v>
      </c>
      <c r="I48" s="109">
        <f t="shared" si="61"/>
        <v>6076635</v>
      </c>
      <c r="J48" s="109">
        <f t="shared" si="61"/>
        <v>5763812.6799999997</v>
      </c>
      <c r="K48" s="109">
        <f t="shared" si="61"/>
        <v>233600</v>
      </c>
      <c r="L48" s="109">
        <f t="shared" si="61"/>
        <v>4562041.7140000006</v>
      </c>
      <c r="M48" s="109">
        <f t="shared" si="61"/>
        <v>0</v>
      </c>
      <c r="N48" s="109">
        <f t="shared" si="61"/>
        <v>2931041</v>
      </c>
      <c r="O48" s="109">
        <f t="shared" si="61"/>
        <v>1631000.7139999999</v>
      </c>
      <c r="P48" s="109">
        <f t="shared" si="61"/>
        <v>4562041.7140000006</v>
      </c>
      <c r="Q48" s="109">
        <f t="shared" si="61"/>
        <v>0</v>
      </c>
      <c r="R48" s="109">
        <f t="shared" si="61"/>
        <v>2931041</v>
      </c>
      <c r="S48" s="109">
        <f t="shared" si="61"/>
        <v>1631000.7139999999</v>
      </c>
      <c r="T48" s="130">
        <f>SUM(U48:Z48)</f>
        <v>2282516</v>
      </c>
      <c r="U48" s="109">
        <v>408169</v>
      </c>
      <c r="V48" s="109">
        <f t="shared" ref="V48" si="62">SUM(V49,V60,V74,V76,V78,V80,V83,V85,V87,V89,V92,V96,V98,V103,V101,V107,V111,V112,V113,V114)</f>
        <v>1077200</v>
      </c>
      <c r="W48" s="109">
        <f t="shared" ref="W48:Y48" si="63">SUM(W49,W60,W74,W76,W78,W80,W83,W85,W87,W89,W92,W96,W98,W103,W101,W107,W111,W112,W113,W114)</f>
        <v>339449</v>
      </c>
      <c r="X48" s="109">
        <f t="shared" si="63"/>
        <v>40000</v>
      </c>
      <c r="Y48" s="109">
        <f t="shared" si="63"/>
        <v>417698</v>
      </c>
      <c r="Z48" s="147"/>
    </row>
    <row r="49" spans="1:26" s="104" customFormat="1">
      <c r="A49" s="132" t="s">
        <v>97</v>
      </c>
      <c r="B49" s="108" t="s">
        <v>261</v>
      </c>
      <c r="C49" s="153"/>
      <c r="D49" s="160"/>
      <c r="E49" s="106"/>
      <c r="F49" s="108"/>
      <c r="G49" s="109">
        <f>SUM(G50:G59)</f>
        <v>3957917</v>
      </c>
      <c r="H49" s="109">
        <f t="shared" ref="H49:S49" si="64">SUM(H50:H59)</f>
        <v>1340569</v>
      </c>
      <c r="I49" s="109">
        <f t="shared" si="64"/>
        <v>867709</v>
      </c>
      <c r="J49" s="109">
        <f t="shared" si="64"/>
        <v>1749639</v>
      </c>
      <c r="K49" s="109">
        <f t="shared" si="64"/>
        <v>0</v>
      </c>
      <c r="L49" s="109">
        <f t="shared" si="64"/>
        <v>1670266</v>
      </c>
      <c r="M49" s="109">
        <f t="shared" si="64"/>
        <v>0</v>
      </c>
      <c r="N49" s="109">
        <f t="shared" si="64"/>
        <v>1116084</v>
      </c>
      <c r="O49" s="109">
        <f t="shared" si="64"/>
        <v>554182</v>
      </c>
      <c r="P49" s="109">
        <f t="shared" si="64"/>
        <v>1670266</v>
      </c>
      <c r="Q49" s="109">
        <f t="shared" si="64"/>
        <v>0</v>
      </c>
      <c r="R49" s="109">
        <f t="shared" si="64"/>
        <v>1116084</v>
      </c>
      <c r="S49" s="109">
        <f t="shared" si="64"/>
        <v>554182</v>
      </c>
      <c r="T49" s="130">
        <f>SUM(T50:T59)</f>
        <v>684311</v>
      </c>
      <c r="U49" s="130">
        <f t="shared" ref="U49:Z49" si="65">SUM(U50:U59)</f>
        <v>402615</v>
      </c>
      <c r="V49" s="130">
        <f t="shared" si="65"/>
        <v>139600</v>
      </c>
      <c r="W49" s="130">
        <f t="shared" si="65"/>
        <v>57116</v>
      </c>
      <c r="X49" s="130">
        <f t="shared" si="65"/>
        <v>0</v>
      </c>
      <c r="Y49" s="130">
        <f t="shared" si="65"/>
        <v>84980</v>
      </c>
      <c r="Z49" s="130">
        <f t="shared" si="65"/>
        <v>0</v>
      </c>
    </row>
    <row r="50" spans="1:26" s="136" customFormat="1" ht="66">
      <c r="A50" s="140">
        <v>1</v>
      </c>
      <c r="B50" s="156" t="s">
        <v>173</v>
      </c>
      <c r="C50" s="148" t="s">
        <v>157</v>
      </c>
      <c r="D50" s="161"/>
      <c r="E50" s="107"/>
      <c r="F50" s="162" t="s">
        <v>174</v>
      </c>
      <c r="G50" s="110">
        <v>359740</v>
      </c>
      <c r="H50" s="110">
        <v>0</v>
      </c>
      <c r="I50" s="110">
        <v>87709</v>
      </c>
      <c r="J50" s="110">
        <v>272031</v>
      </c>
      <c r="K50" s="110">
        <v>0</v>
      </c>
      <c r="L50" s="141">
        <f t="shared" ref="L50:L64" si="66">SUM(M50:O50)</f>
        <v>255891</v>
      </c>
      <c r="M50" s="152"/>
      <c r="N50" s="110">
        <v>37709</v>
      </c>
      <c r="O50" s="152">
        <v>218182</v>
      </c>
      <c r="P50" s="141">
        <f t="shared" ref="P50:P59" si="67">SUM(Q50:S50)</f>
        <v>255891</v>
      </c>
      <c r="Q50" s="141">
        <f t="shared" ref="Q50:Q59" si="68">M50</f>
        <v>0</v>
      </c>
      <c r="R50" s="141">
        <f t="shared" ref="R50:R59" si="69">N50</f>
        <v>37709</v>
      </c>
      <c r="S50" s="141">
        <f t="shared" ref="S50:S59" si="70">O50</f>
        <v>218182</v>
      </c>
      <c r="T50" s="141">
        <f t="shared" ref="T50:T53" si="71">SUM(U50:Z50)</f>
        <v>5000</v>
      </c>
      <c r="U50" s="110">
        <v>0</v>
      </c>
      <c r="V50" s="110">
        <v>0</v>
      </c>
      <c r="W50" s="110">
        <v>0</v>
      </c>
      <c r="X50" s="110">
        <v>0</v>
      </c>
      <c r="Y50" s="110">
        <v>5000</v>
      </c>
      <c r="Z50" s="152"/>
    </row>
    <row r="51" spans="1:26" s="136" customFormat="1" ht="37.5">
      <c r="A51" s="140">
        <v>2</v>
      </c>
      <c r="B51" s="156" t="s">
        <v>176</v>
      </c>
      <c r="C51" s="148" t="s">
        <v>155</v>
      </c>
      <c r="D51" s="161"/>
      <c r="E51" s="107"/>
      <c r="F51" s="140" t="s">
        <v>336</v>
      </c>
      <c r="G51" s="110">
        <v>1423646</v>
      </c>
      <c r="H51" s="110">
        <v>887947</v>
      </c>
      <c r="I51" s="110" t="s">
        <v>336</v>
      </c>
      <c r="J51" s="110">
        <v>535699</v>
      </c>
      <c r="K51" s="110">
        <v>0</v>
      </c>
      <c r="L51" s="141">
        <f t="shared" si="66"/>
        <v>438808</v>
      </c>
      <c r="M51" s="152"/>
      <c r="N51" s="110">
        <v>326864</v>
      </c>
      <c r="O51" s="152">
        <v>111944</v>
      </c>
      <c r="P51" s="141">
        <f t="shared" si="67"/>
        <v>438808</v>
      </c>
      <c r="Q51" s="141">
        <f t="shared" si="68"/>
        <v>0</v>
      </c>
      <c r="R51" s="141">
        <f t="shared" si="69"/>
        <v>326864</v>
      </c>
      <c r="S51" s="141">
        <f t="shared" si="70"/>
        <v>111944</v>
      </c>
      <c r="T51" s="141">
        <f t="shared" si="71"/>
        <v>289182</v>
      </c>
      <c r="U51" s="110">
        <v>257182</v>
      </c>
      <c r="V51" s="110">
        <v>0</v>
      </c>
      <c r="W51" s="110">
        <v>20000</v>
      </c>
      <c r="X51" s="110">
        <v>0</v>
      </c>
      <c r="Y51" s="110">
        <v>12000</v>
      </c>
      <c r="Z51" s="152"/>
    </row>
    <row r="52" spans="1:26" s="136" customFormat="1" ht="56.25">
      <c r="A52" s="140">
        <v>3</v>
      </c>
      <c r="B52" s="156" t="s">
        <v>177</v>
      </c>
      <c r="C52" s="148" t="s">
        <v>157</v>
      </c>
      <c r="D52" s="161">
        <v>0</v>
      </c>
      <c r="E52" s="107" t="s">
        <v>337</v>
      </c>
      <c r="F52" s="140" t="s">
        <v>336</v>
      </c>
      <c r="G52" s="110">
        <v>913901</v>
      </c>
      <c r="H52" s="110">
        <v>452622</v>
      </c>
      <c r="I52" s="110" t="s">
        <v>336</v>
      </c>
      <c r="J52" s="110">
        <v>461279</v>
      </c>
      <c r="K52" s="110">
        <v>0</v>
      </c>
      <c r="L52" s="141">
        <f t="shared" si="66"/>
        <v>165239</v>
      </c>
      <c r="M52" s="152"/>
      <c r="N52" s="110">
        <v>111111</v>
      </c>
      <c r="O52" s="152">
        <v>54128</v>
      </c>
      <c r="P52" s="141">
        <f t="shared" si="67"/>
        <v>165239</v>
      </c>
      <c r="Q52" s="141">
        <f t="shared" si="68"/>
        <v>0</v>
      </c>
      <c r="R52" s="141">
        <f t="shared" si="69"/>
        <v>111111</v>
      </c>
      <c r="S52" s="141">
        <f t="shared" si="70"/>
        <v>54128</v>
      </c>
      <c r="T52" s="141">
        <f t="shared" si="71"/>
        <v>169781</v>
      </c>
      <c r="U52" s="110">
        <v>145433</v>
      </c>
      <c r="V52" s="110">
        <v>0</v>
      </c>
      <c r="W52" s="110">
        <v>5000</v>
      </c>
      <c r="X52" s="110">
        <v>0</v>
      </c>
      <c r="Y52" s="110">
        <v>19348</v>
      </c>
      <c r="Z52" s="152">
        <v>0</v>
      </c>
    </row>
    <row r="53" spans="1:26" s="136" customFormat="1" ht="37.5">
      <c r="A53" s="140">
        <v>4</v>
      </c>
      <c r="B53" s="156" t="s">
        <v>402</v>
      </c>
      <c r="C53" s="148" t="s">
        <v>157</v>
      </c>
      <c r="D53" s="161"/>
      <c r="E53" s="107"/>
      <c r="F53" s="162" t="s">
        <v>481</v>
      </c>
      <c r="G53" s="110">
        <v>79980</v>
      </c>
      <c r="H53" s="110">
        <v>0</v>
      </c>
      <c r="I53" s="110">
        <v>0</v>
      </c>
      <c r="J53" s="110">
        <v>79980</v>
      </c>
      <c r="K53" s="110">
        <v>0</v>
      </c>
      <c r="L53" s="141">
        <f t="shared" si="66"/>
        <v>16000</v>
      </c>
      <c r="M53" s="152"/>
      <c r="N53" s="110">
        <v>0</v>
      </c>
      <c r="O53" s="152">
        <v>16000</v>
      </c>
      <c r="P53" s="141">
        <f t="shared" si="67"/>
        <v>16000</v>
      </c>
      <c r="Q53" s="141">
        <f t="shared" si="68"/>
        <v>0</v>
      </c>
      <c r="R53" s="141">
        <f t="shared" si="69"/>
        <v>0</v>
      </c>
      <c r="S53" s="141">
        <f t="shared" si="70"/>
        <v>16000</v>
      </c>
      <c r="T53" s="141">
        <f t="shared" si="71"/>
        <v>15000</v>
      </c>
      <c r="U53" s="110">
        <v>0</v>
      </c>
      <c r="V53" s="110">
        <v>0</v>
      </c>
      <c r="W53" s="110">
        <v>5000</v>
      </c>
      <c r="X53" s="110">
        <v>0</v>
      </c>
      <c r="Y53" s="110">
        <v>10000</v>
      </c>
      <c r="Z53" s="152"/>
    </row>
    <row r="54" spans="1:26" s="136" customFormat="1" ht="37.5">
      <c r="A54" s="140">
        <v>5</v>
      </c>
      <c r="B54" s="155" t="s">
        <v>403</v>
      </c>
      <c r="C54" s="148" t="s">
        <v>157</v>
      </c>
      <c r="D54" s="148"/>
      <c r="E54" s="107"/>
      <c r="F54" s="140" t="s">
        <v>336</v>
      </c>
      <c r="G54" s="110">
        <v>35000</v>
      </c>
      <c r="H54" s="110">
        <v>0</v>
      </c>
      <c r="I54" s="110">
        <v>0</v>
      </c>
      <c r="J54" s="110">
        <v>35000</v>
      </c>
      <c r="K54" s="110">
        <v>0</v>
      </c>
      <c r="L54" s="141">
        <f t="shared" si="66"/>
        <v>24899</v>
      </c>
      <c r="M54" s="152"/>
      <c r="N54" s="110">
        <v>0</v>
      </c>
      <c r="O54" s="152">
        <v>24899</v>
      </c>
      <c r="P54" s="141">
        <f t="shared" si="67"/>
        <v>24899</v>
      </c>
      <c r="Q54" s="141">
        <f t="shared" si="68"/>
        <v>0</v>
      </c>
      <c r="R54" s="141">
        <f t="shared" si="69"/>
        <v>0</v>
      </c>
      <c r="S54" s="141">
        <f t="shared" si="70"/>
        <v>24899</v>
      </c>
      <c r="T54" s="152">
        <f>SUM(U54:Z54)</f>
        <v>7701</v>
      </c>
      <c r="U54" s="110">
        <v>0</v>
      </c>
      <c r="V54" s="110">
        <v>0</v>
      </c>
      <c r="W54" s="110">
        <v>5000</v>
      </c>
      <c r="X54" s="110">
        <v>0</v>
      </c>
      <c r="Y54" s="110">
        <v>2701</v>
      </c>
      <c r="Z54" s="152">
        <f t="shared" ref="Z54" si="72">SUM(Z55:Z62)</f>
        <v>0</v>
      </c>
    </row>
    <row r="55" spans="1:26" s="136" customFormat="1" ht="37.5">
      <c r="A55" s="140">
        <v>6</v>
      </c>
      <c r="B55" s="155" t="s">
        <v>172</v>
      </c>
      <c r="C55" s="148" t="s">
        <v>157</v>
      </c>
      <c r="D55" s="161"/>
      <c r="E55" s="107"/>
      <c r="F55" s="140" t="s">
        <v>336</v>
      </c>
      <c r="G55" s="110">
        <v>45650</v>
      </c>
      <c r="H55" s="110">
        <v>0</v>
      </c>
      <c r="I55" s="110">
        <v>0</v>
      </c>
      <c r="J55" s="110">
        <v>45650</v>
      </c>
      <c r="K55" s="110">
        <v>0</v>
      </c>
      <c r="L55" s="141">
        <f t="shared" si="66"/>
        <v>37029</v>
      </c>
      <c r="M55" s="152"/>
      <c r="N55" s="110">
        <v>0</v>
      </c>
      <c r="O55" s="152">
        <v>37029</v>
      </c>
      <c r="P55" s="141">
        <f t="shared" si="67"/>
        <v>37029</v>
      </c>
      <c r="Q55" s="141">
        <f t="shared" si="68"/>
        <v>0</v>
      </c>
      <c r="R55" s="141">
        <f t="shared" si="69"/>
        <v>0</v>
      </c>
      <c r="S55" s="141">
        <f t="shared" si="70"/>
        <v>37029</v>
      </c>
      <c r="T55" s="141">
        <f t="shared" ref="T55:T59" si="73">SUM(U55:Z55)</f>
        <v>2971</v>
      </c>
      <c r="U55" s="110">
        <v>0</v>
      </c>
      <c r="V55" s="110">
        <v>0</v>
      </c>
      <c r="W55" s="110">
        <v>2971</v>
      </c>
      <c r="X55" s="110">
        <v>0</v>
      </c>
      <c r="Y55" s="110">
        <v>0</v>
      </c>
      <c r="Z55" s="152"/>
    </row>
    <row r="56" spans="1:26" s="136" customFormat="1" ht="37.5">
      <c r="A56" s="140">
        <v>7</v>
      </c>
      <c r="B56" s="155" t="s">
        <v>175</v>
      </c>
      <c r="C56" s="148" t="s">
        <v>157</v>
      </c>
      <c r="D56" s="161"/>
      <c r="E56" s="107"/>
      <c r="F56" s="140" t="s">
        <v>336</v>
      </c>
      <c r="G56" s="110">
        <v>260000</v>
      </c>
      <c r="H56" s="110">
        <v>0</v>
      </c>
      <c r="I56" s="110">
        <v>200000</v>
      </c>
      <c r="J56" s="110">
        <v>60000</v>
      </c>
      <c r="K56" s="110">
        <v>0</v>
      </c>
      <c r="L56" s="141">
        <f t="shared" si="66"/>
        <v>214000</v>
      </c>
      <c r="M56" s="152"/>
      <c r="N56" s="110">
        <v>200000</v>
      </c>
      <c r="O56" s="152">
        <v>14000</v>
      </c>
      <c r="P56" s="141">
        <f t="shared" si="67"/>
        <v>214000</v>
      </c>
      <c r="Q56" s="141">
        <f t="shared" si="68"/>
        <v>0</v>
      </c>
      <c r="R56" s="141">
        <f t="shared" si="69"/>
        <v>200000</v>
      </c>
      <c r="S56" s="141">
        <f t="shared" si="70"/>
        <v>14000</v>
      </c>
      <c r="T56" s="141">
        <f t="shared" si="73"/>
        <v>20000</v>
      </c>
      <c r="U56" s="110">
        <v>0</v>
      </c>
      <c r="V56" s="110">
        <v>0</v>
      </c>
      <c r="W56" s="110">
        <v>10000</v>
      </c>
      <c r="X56" s="110">
        <v>0</v>
      </c>
      <c r="Y56" s="110">
        <v>10000</v>
      </c>
      <c r="Z56" s="152"/>
    </row>
    <row r="57" spans="1:26" s="136" customFormat="1" ht="37.5">
      <c r="A57" s="140">
        <v>8</v>
      </c>
      <c r="B57" s="155" t="s">
        <v>262</v>
      </c>
      <c r="C57" s="148" t="s">
        <v>157</v>
      </c>
      <c r="D57" s="161"/>
      <c r="E57" s="107"/>
      <c r="F57" s="140" t="s">
        <v>336</v>
      </c>
      <c r="G57" s="110">
        <v>420000</v>
      </c>
      <c r="H57" s="110">
        <v>0</v>
      </c>
      <c r="I57" s="110">
        <v>350000</v>
      </c>
      <c r="J57" s="110">
        <v>70000</v>
      </c>
      <c r="K57" s="110">
        <v>0</v>
      </c>
      <c r="L57" s="141">
        <f t="shared" si="66"/>
        <v>302000</v>
      </c>
      <c r="M57" s="152"/>
      <c r="N57" s="110">
        <v>302000</v>
      </c>
      <c r="O57" s="152">
        <v>0</v>
      </c>
      <c r="P57" s="141">
        <f t="shared" si="67"/>
        <v>302000</v>
      </c>
      <c r="Q57" s="141">
        <f t="shared" si="68"/>
        <v>0</v>
      </c>
      <c r="R57" s="141">
        <f t="shared" si="69"/>
        <v>302000</v>
      </c>
      <c r="S57" s="141">
        <f t="shared" si="70"/>
        <v>0</v>
      </c>
      <c r="T57" s="141">
        <f t="shared" si="73"/>
        <v>48000</v>
      </c>
      <c r="U57" s="110">
        <v>0</v>
      </c>
      <c r="V57" s="110">
        <v>48000</v>
      </c>
      <c r="W57" s="110">
        <v>0</v>
      </c>
      <c r="X57" s="110">
        <v>0</v>
      </c>
      <c r="Y57" s="110">
        <v>0</v>
      </c>
      <c r="Z57" s="152"/>
    </row>
    <row r="58" spans="1:26" s="136" customFormat="1" ht="37.5">
      <c r="A58" s="140">
        <v>9</v>
      </c>
      <c r="B58" s="155" t="s">
        <v>161</v>
      </c>
      <c r="C58" s="148" t="s">
        <v>157</v>
      </c>
      <c r="D58" s="161"/>
      <c r="E58" s="107"/>
      <c r="F58" s="140" t="s">
        <v>482</v>
      </c>
      <c r="G58" s="110">
        <v>220000</v>
      </c>
      <c r="H58" s="110">
        <v>0</v>
      </c>
      <c r="I58" s="110">
        <v>80000</v>
      </c>
      <c r="J58" s="110">
        <v>140000</v>
      </c>
      <c r="K58" s="110">
        <v>0</v>
      </c>
      <c r="L58" s="141">
        <f t="shared" si="66"/>
        <v>158000</v>
      </c>
      <c r="M58" s="152"/>
      <c r="N58" s="110">
        <v>80000</v>
      </c>
      <c r="O58" s="152">
        <v>78000</v>
      </c>
      <c r="P58" s="141">
        <f t="shared" si="67"/>
        <v>158000</v>
      </c>
      <c r="Q58" s="141">
        <f t="shared" si="68"/>
        <v>0</v>
      </c>
      <c r="R58" s="141">
        <f t="shared" si="69"/>
        <v>80000</v>
      </c>
      <c r="S58" s="141">
        <f t="shared" si="70"/>
        <v>78000</v>
      </c>
      <c r="T58" s="141">
        <f t="shared" si="73"/>
        <v>35076</v>
      </c>
      <c r="U58" s="110">
        <v>0</v>
      </c>
      <c r="V58" s="110">
        <v>0</v>
      </c>
      <c r="W58" s="110">
        <v>9145</v>
      </c>
      <c r="X58" s="110">
        <v>0</v>
      </c>
      <c r="Y58" s="110">
        <v>25931</v>
      </c>
      <c r="Z58" s="152"/>
    </row>
    <row r="59" spans="1:26" s="136" customFormat="1" ht="37.5">
      <c r="A59" s="140">
        <v>10</v>
      </c>
      <c r="B59" s="155" t="s">
        <v>263</v>
      </c>
      <c r="C59" s="148" t="s">
        <v>157</v>
      </c>
      <c r="D59" s="161"/>
      <c r="E59" s="107"/>
      <c r="F59" s="140" t="s">
        <v>336</v>
      </c>
      <c r="G59" s="110">
        <v>200000</v>
      </c>
      <c r="H59" s="110">
        <v>0</v>
      </c>
      <c r="I59" s="110">
        <v>150000</v>
      </c>
      <c r="J59" s="110">
        <v>50000</v>
      </c>
      <c r="K59" s="110">
        <v>0</v>
      </c>
      <c r="L59" s="141">
        <f t="shared" si="66"/>
        <v>58400</v>
      </c>
      <c r="M59" s="152"/>
      <c r="N59" s="110">
        <v>58400</v>
      </c>
      <c r="O59" s="152">
        <v>0</v>
      </c>
      <c r="P59" s="141">
        <f t="shared" si="67"/>
        <v>58400</v>
      </c>
      <c r="Q59" s="141">
        <f t="shared" si="68"/>
        <v>0</v>
      </c>
      <c r="R59" s="141">
        <f t="shared" si="69"/>
        <v>58400</v>
      </c>
      <c r="S59" s="141">
        <f t="shared" si="70"/>
        <v>0</v>
      </c>
      <c r="T59" s="141">
        <f t="shared" si="73"/>
        <v>91600</v>
      </c>
      <c r="U59" s="110">
        <v>0</v>
      </c>
      <c r="V59" s="110">
        <v>91600</v>
      </c>
      <c r="W59" s="110">
        <v>0</v>
      </c>
      <c r="X59" s="110">
        <v>0</v>
      </c>
      <c r="Y59" s="110">
        <v>0</v>
      </c>
      <c r="Z59" s="152"/>
    </row>
    <row r="60" spans="1:26" s="104" customFormat="1" ht="37.5">
      <c r="A60" s="132" t="s">
        <v>49</v>
      </c>
      <c r="B60" s="108" t="s">
        <v>264</v>
      </c>
      <c r="C60" s="153"/>
      <c r="D60" s="160"/>
      <c r="E60" s="106"/>
      <c r="F60" s="108">
        <v>0</v>
      </c>
      <c r="G60" s="109">
        <f>SUM(G61:G73)</f>
        <v>5680885</v>
      </c>
      <c r="H60" s="109">
        <f t="shared" ref="H60:S60" si="74">SUM(H61:H73)</f>
        <v>0</v>
      </c>
      <c r="I60" s="109">
        <f t="shared" si="74"/>
        <v>3745000</v>
      </c>
      <c r="J60" s="109">
        <f t="shared" si="74"/>
        <v>1935885</v>
      </c>
      <c r="K60" s="109">
        <f t="shared" si="74"/>
        <v>0</v>
      </c>
      <c r="L60" s="109">
        <f t="shared" si="74"/>
        <v>2019747</v>
      </c>
      <c r="M60" s="109">
        <f t="shared" si="74"/>
        <v>0</v>
      </c>
      <c r="N60" s="109">
        <f t="shared" si="74"/>
        <v>1613140</v>
      </c>
      <c r="O60" s="109">
        <f t="shared" si="74"/>
        <v>406607</v>
      </c>
      <c r="P60" s="109">
        <f t="shared" si="74"/>
        <v>2019747</v>
      </c>
      <c r="Q60" s="109">
        <f t="shared" si="74"/>
        <v>0</v>
      </c>
      <c r="R60" s="109">
        <f t="shared" si="74"/>
        <v>1613140</v>
      </c>
      <c r="S60" s="109">
        <f t="shared" si="74"/>
        <v>406607</v>
      </c>
      <c r="T60" s="109">
        <f>SUM(T61:T73)</f>
        <v>1087600</v>
      </c>
      <c r="U60" s="109">
        <f t="shared" ref="U60" si="75">SUM(U61:U73)</f>
        <v>0</v>
      </c>
      <c r="V60" s="109">
        <f>SUM(V61:V73)</f>
        <v>937600</v>
      </c>
      <c r="W60" s="109">
        <f t="shared" ref="W60:Y60" si="76">SUM(W61:W73)</f>
        <v>35000</v>
      </c>
      <c r="X60" s="109">
        <f t="shared" si="76"/>
        <v>0</v>
      </c>
      <c r="Y60" s="109">
        <f t="shared" si="76"/>
        <v>115000</v>
      </c>
      <c r="Z60" s="147"/>
    </row>
    <row r="61" spans="1:26" s="136" customFormat="1" ht="112.5">
      <c r="A61" s="107">
        <v>1</v>
      </c>
      <c r="B61" s="155" t="s">
        <v>265</v>
      </c>
      <c r="C61" s="148" t="s">
        <v>157</v>
      </c>
      <c r="D61" s="148"/>
      <c r="E61" s="107"/>
      <c r="F61" s="140" t="s">
        <v>439</v>
      </c>
      <c r="G61" s="110">
        <v>425000</v>
      </c>
      <c r="H61" s="110">
        <v>0</v>
      </c>
      <c r="I61" s="110">
        <v>280000</v>
      </c>
      <c r="J61" s="110">
        <v>145000</v>
      </c>
      <c r="K61" s="110">
        <v>0</v>
      </c>
      <c r="L61" s="141">
        <f t="shared" si="66"/>
        <v>283812</v>
      </c>
      <c r="M61" s="152"/>
      <c r="N61" s="110">
        <v>200000</v>
      </c>
      <c r="O61" s="152">
        <v>83812</v>
      </c>
      <c r="P61" s="141">
        <f t="shared" ref="P61:P73" si="77">SUM(Q61:S61)</f>
        <v>283812</v>
      </c>
      <c r="Q61" s="141">
        <f t="shared" ref="Q61:Q73" si="78">M61</f>
        <v>0</v>
      </c>
      <c r="R61" s="141">
        <f t="shared" ref="R61:R73" si="79">N61</f>
        <v>200000</v>
      </c>
      <c r="S61" s="141">
        <f t="shared" ref="S61:S73" si="80">O61</f>
        <v>83812</v>
      </c>
      <c r="T61" s="141">
        <f>SUM(U61:Z61)</f>
        <v>20000</v>
      </c>
      <c r="U61" s="110">
        <v>0</v>
      </c>
      <c r="V61" s="110">
        <v>0</v>
      </c>
      <c r="W61" s="110">
        <v>10000</v>
      </c>
      <c r="X61" s="110">
        <v>0</v>
      </c>
      <c r="Y61" s="110">
        <v>10000</v>
      </c>
      <c r="Z61" s="152"/>
    </row>
    <row r="62" spans="1:26" s="136" customFormat="1" ht="75">
      <c r="A62" s="107">
        <v>2</v>
      </c>
      <c r="B62" s="155" t="s">
        <v>266</v>
      </c>
      <c r="C62" s="148" t="s">
        <v>157</v>
      </c>
      <c r="D62" s="161"/>
      <c r="E62" s="107"/>
      <c r="F62" s="140" t="s">
        <v>440</v>
      </c>
      <c r="G62" s="110">
        <v>438085</v>
      </c>
      <c r="H62" s="110">
        <v>0</v>
      </c>
      <c r="I62" s="110">
        <v>350000</v>
      </c>
      <c r="J62" s="110">
        <v>88085</v>
      </c>
      <c r="K62" s="110">
        <v>0</v>
      </c>
      <c r="L62" s="141">
        <f t="shared" si="66"/>
        <v>295835</v>
      </c>
      <c r="M62" s="152"/>
      <c r="N62" s="110">
        <v>248272</v>
      </c>
      <c r="O62" s="152">
        <v>47563</v>
      </c>
      <c r="P62" s="141">
        <f t="shared" si="77"/>
        <v>295835</v>
      </c>
      <c r="Q62" s="141">
        <f t="shared" si="78"/>
        <v>0</v>
      </c>
      <c r="R62" s="141">
        <f t="shared" si="79"/>
        <v>248272</v>
      </c>
      <c r="S62" s="141">
        <f t="shared" si="80"/>
        <v>47563</v>
      </c>
      <c r="T62" s="141">
        <f t="shared" ref="T62:T75" si="81">SUM(U62:Z62)</f>
        <v>41728</v>
      </c>
      <c r="U62" s="110">
        <v>0</v>
      </c>
      <c r="V62" s="110">
        <v>1728</v>
      </c>
      <c r="W62" s="110">
        <v>0</v>
      </c>
      <c r="X62" s="110">
        <v>0</v>
      </c>
      <c r="Y62" s="110">
        <v>40000</v>
      </c>
      <c r="Z62" s="152"/>
    </row>
    <row r="63" spans="1:26" s="136" customFormat="1" ht="75">
      <c r="A63" s="107">
        <v>3</v>
      </c>
      <c r="B63" s="155" t="s">
        <v>267</v>
      </c>
      <c r="C63" s="148" t="s">
        <v>157</v>
      </c>
      <c r="D63" s="148"/>
      <c r="E63" s="107"/>
      <c r="F63" s="140" t="s">
        <v>441</v>
      </c>
      <c r="G63" s="110">
        <v>412000</v>
      </c>
      <c r="H63" s="110">
        <v>0</v>
      </c>
      <c r="I63" s="110">
        <v>280000</v>
      </c>
      <c r="J63" s="110">
        <v>132000</v>
      </c>
      <c r="K63" s="110">
        <v>0</v>
      </c>
      <c r="L63" s="141">
        <f t="shared" si="66"/>
        <v>128122</v>
      </c>
      <c r="M63" s="152"/>
      <c r="N63" s="110">
        <v>105000</v>
      </c>
      <c r="O63" s="152">
        <v>23122</v>
      </c>
      <c r="P63" s="141">
        <f t="shared" si="77"/>
        <v>128122</v>
      </c>
      <c r="Q63" s="141">
        <f t="shared" si="78"/>
        <v>0</v>
      </c>
      <c r="R63" s="141">
        <f t="shared" si="79"/>
        <v>105000</v>
      </c>
      <c r="S63" s="141">
        <f t="shared" si="80"/>
        <v>23122</v>
      </c>
      <c r="T63" s="141">
        <f t="shared" si="81"/>
        <v>95000</v>
      </c>
      <c r="U63" s="110">
        <v>0</v>
      </c>
      <c r="V63" s="110">
        <v>95000</v>
      </c>
      <c r="W63" s="110">
        <v>0</v>
      </c>
      <c r="X63" s="110">
        <v>0</v>
      </c>
      <c r="Y63" s="110">
        <v>0</v>
      </c>
      <c r="Z63" s="152">
        <f t="shared" ref="Z63" si="82">SUM(Z64:Z69)</f>
        <v>0</v>
      </c>
    </row>
    <row r="64" spans="1:26" s="136" customFormat="1" ht="112.5">
      <c r="A64" s="107">
        <v>4</v>
      </c>
      <c r="B64" s="155" t="s">
        <v>268</v>
      </c>
      <c r="C64" s="148" t="s">
        <v>157</v>
      </c>
      <c r="D64" s="148"/>
      <c r="E64" s="107"/>
      <c r="F64" s="140" t="s">
        <v>442</v>
      </c>
      <c r="G64" s="110">
        <v>130000</v>
      </c>
      <c r="H64" s="110">
        <v>0</v>
      </c>
      <c r="I64" s="110">
        <v>0</v>
      </c>
      <c r="J64" s="110">
        <v>130000</v>
      </c>
      <c r="K64" s="110">
        <v>0</v>
      </c>
      <c r="L64" s="141">
        <f t="shared" si="66"/>
        <v>73000</v>
      </c>
      <c r="M64" s="152"/>
      <c r="N64" s="110">
        <v>0</v>
      </c>
      <c r="O64" s="152">
        <v>73000</v>
      </c>
      <c r="P64" s="141">
        <f t="shared" si="77"/>
        <v>73000</v>
      </c>
      <c r="Q64" s="141">
        <f t="shared" si="78"/>
        <v>0</v>
      </c>
      <c r="R64" s="141">
        <f t="shared" si="79"/>
        <v>0</v>
      </c>
      <c r="S64" s="141">
        <f t="shared" si="80"/>
        <v>73000</v>
      </c>
      <c r="T64" s="141">
        <f t="shared" si="81"/>
        <v>20000</v>
      </c>
      <c r="U64" s="110">
        <v>0</v>
      </c>
      <c r="V64" s="110">
        <v>0</v>
      </c>
      <c r="W64" s="110">
        <v>10000</v>
      </c>
      <c r="X64" s="110">
        <v>0</v>
      </c>
      <c r="Y64" s="110">
        <v>10000</v>
      </c>
      <c r="Z64" s="152"/>
    </row>
    <row r="65" spans="1:26" s="136" customFormat="1" ht="75">
      <c r="A65" s="107">
        <v>5</v>
      </c>
      <c r="B65" s="155" t="s">
        <v>269</v>
      </c>
      <c r="C65" s="148" t="s">
        <v>157</v>
      </c>
      <c r="D65" s="148"/>
      <c r="E65" s="107"/>
      <c r="F65" s="140" t="s">
        <v>443</v>
      </c>
      <c r="G65" s="110">
        <v>650000</v>
      </c>
      <c r="H65" s="110">
        <v>0</v>
      </c>
      <c r="I65" s="110">
        <v>550000</v>
      </c>
      <c r="J65" s="110">
        <v>100000</v>
      </c>
      <c r="K65" s="110">
        <v>0</v>
      </c>
      <c r="L65" s="141">
        <f t="shared" ref="L65:L73" si="83">SUM(M65:O65)</f>
        <v>358478</v>
      </c>
      <c r="M65" s="152"/>
      <c r="N65" s="110">
        <v>287868</v>
      </c>
      <c r="O65" s="152">
        <v>70610</v>
      </c>
      <c r="P65" s="141">
        <f t="shared" si="77"/>
        <v>358478</v>
      </c>
      <c r="Q65" s="141">
        <f t="shared" si="78"/>
        <v>0</v>
      </c>
      <c r="R65" s="141">
        <f t="shared" si="79"/>
        <v>287868</v>
      </c>
      <c r="S65" s="141">
        <f t="shared" si="80"/>
        <v>70610</v>
      </c>
      <c r="T65" s="141">
        <f t="shared" si="81"/>
        <v>262132</v>
      </c>
      <c r="U65" s="110">
        <v>0</v>
      </c>
      <c r="V65" s="110">
        <v>262132</v>
      </c>
      <c r="W65" s="110">
        <v>0</v>
      </c>
      <c r="X65" s="110">
        <v>0</v>
      </c>
      <c r="Y65" s="110">
        <v>0</v>
      </c>
      <c r="Z65" s="152"/>
    </row>
    <row r="66" spans="1:26" s="136" customFormat="1" ht="37.5">
      <c r="A66" s="107">
        <v>6</v>
      </c>
      <c r="B66" s="155" t="s">
        <v>270</v>
      </c>
      <c r="C66" s="148" t="s">
        <v>157</v>
      </c>
      <c r="D66" s="148"/>
      <c r="E66" s="107"/>
      <c r="F66" s="140" t="s">
        <v>342</v>
      </c>
      <c r="G66" s="110">
        <v>100000</v>
      </c>
      <c r="H66" s="110">
        <v>0</v>
      </c>
      <c r="I66" s="110">
        <v>0</v>
      </c>
      <c r="J66" s="110">
        <v>100000</v>
      </c>
      <c r="K66" s="110">
        <v>0</v>
      </c>
      <c r="L66" s="141">
        <f t="shared" si="83"/>
        <v>20500</v>
      </c>
      <c r="M66" s="152"/>
      <c r="N66" s="110">
        <v>0</v>
      </c>
      <c r="O66" s="152">
        <v>20500</v>
      </c>
      <c r="P66" s="141">
        <f t="shared" si="77"/>
        <v>20500</v>
      </c>
      <c r="Q66" s="141">
        <f t="shared" si="78"/>
        <v>0</v>
      </c>
      <c r="R66" s="141">
        <f t="shared" si="79"/>
        <v>0</v>
      </c>
      <c r="S66" s="141">
        <f t="shared" si="80"/>
        <v>20500</v>
      </c>
      <c r="T66" s="141">
        <f t="shared" si="81"/>
        <v>20000</v>
      </c>
      <c r="U66" s="110">
        <v>0</v>
      </c>
      <c r="V66" s="110">
        <v>0</v>
      </c>
      <c r="W66" s="110">
        <v>5000</v>
      </c>
      <c r="X66" s="110">
        <v>0</v>
      </c>
      <c r="Y66" s="110">
        <v>15000</v>
      </c>
      <c r="Z66" s="152"/>
    </row>
    <row r="67" spans="1:26" s="136" customFormat="1" ht="112.5">
      <c r="A67" s="107">
        <v>7</v>
      </c>
      <c r="B67" s="155" t="s">
        <v>271</v>
      </c>
      <c r="C67" s="148" t="s">
        <v>157</v>
      </c>
      <c r="D67" s="148"/>
      <c r="E67" s="107"/>
      <c r="F67" s="140" t="s">
        <v>444</v>
      </c>
      <c r="G67" s="110">
        <v>302800</v>
      </c>
      <c r="H67" s="110">
        <v>0</v>
      </c>
      <c r="I67" s="110">
        <v>250000</v>
      </c>
      <c r="J67" s="110">
        <v>52800</v>
      </c>
      <c r="K67" s="110">
        <v>0</v>
      </c>
      <c r="L67" s="141">
        <f t="shared" si="83"/>
        <v>79000</v>
      </c>
      <c r="M67" s="152"/>
      <c r="N67" s="110">
        <v>67000</v>
      </c>
      <c r="O67" s="152">
        <v>12000</v>
      </c>
      <c r="P67" s="141">
        <f t="shared" si="77"/>
        <v>79000</v>
      </c>
      <c r="Q67" s="141">
        <f t="shared" si="78"/>
        <v>0</v>
      </c>
      <c r="R67" s="141">
        <f t="shared" si="79"/>
        <v>67000</v>
      </c>
      <c r="S67" s="141">
        <f t="shared" si="80"/>
        <v>12000</v>
      </c>
      <c r="T67" s="141">
        <f t="shared" si="81"/>
        <v>80000</v>
      </c>
      <c r="U67" s="110">
        <v>0</v>
      </c>
      <c r="V67" s="110">
        <v>80000</v>
      </c>
      <c r="W67" s="110">
        <v>0</v>
      </c>
      <c r="X67" s="110">
        <v>0</v>
      </c>
      <c r="Y67" s="110">
        <v>0</v>
      </c>
      <c r="Z67" s="152"/>
    </row>
    <row r="68" spans="1:26" s="136" customFormat="1" ht="75">
      <c r="A68" s="107">
        <v>8</v>
      </c>
      <c r="B68" s="155" t="s">
        <v>272</v>
      </c>
      <c r="C68" s="148" t="s">
        <v>157</v>
      </c>
      <c r="D68" s="148">
        <v>0</v>
      </c>
      <c r="E68" s="107" t="s">
        <v>335</v>
      </c>
      <c r="F68" s="140" t="s">
        <v>445</v>
      </c>
      <c r="G68" s="110">
        <v>1900000</v>
      </c>
      <c r="H68" s="110">
        <v>0</v>
      </c>
      <c r="I68" s="110">
        <v>1485000</v>
      </c>
      <c r="J68" s="110">
        <v>415000</v>
      </c>
      <c r="K68" s="110">
        <v>0</v>
      </c>
      <c r="L68" s="141">
        <f t="shared" si="83"/>
        <v>515000</v>
      </c>
      <c r="M68" s="152"/>
      <c r="N68" s="110">
        <v>500000</v>
      </c>
      <c r="O68" s="152">
        <v>15000</v>
      </c>
      <c r="P68" s="141">
        <f t="shared" si="77"/>
        <v>515000</v>
      </c>
      <c r="Q68" s="141">
        <f t="shared" si="78"/>
        <v>0</v>
      </c>
      <c r="R68" s="141">
        <f t="shared" si="79"/>
        <v>500000</v>
      </c>
      <c r="S68" s="141">
        <f t="shared" si="80"/>
        <v>15000</v>
      </c>
      <c r="T68" s="141">
        <f t="shared" si="81"/>
        <v>210000</v>
      </c>
      <c r="U68" s="110">
        <v>0</v>
      </c>
      <c r="V68" s="110">
        <v>200000</v>
      </c>
      <c r="W68" s="110">
        <v>0</v>
      </c>
      <c r="X68" s="110">
        <v>0</v>
      </c>
      <c r="Y68" s="110">
        <v>10000</v>
      </c>
      <c r="Z68" s="152">
        <v>0</v>
      </c>
    </row>
    <row r="69" spans="1:26" s="136" customFormat="1" ht="37.5">
      <c r="A69" s="107">
        <v>9</v>
      </c>
      <c r="B69" s="155" t="s">
        <v>273</v>
      </c>
      <c r="C69" s="148" t="s">
        <v>157</v>
      </c>
      <c r="D69" s="148"/>
      <c r="E69" s="107"/>
      <c r="F69" s="140" t="s">
        <v>349</v>
      </c>
      <c r="G69" s="110">
        <v>228000</v>
      </c>
      <c r="H69" s="110">
        <v>0</v>
      </c>
      <c r="I69" s="110">
        <v>150000</v>
      </c>
      <c r="J69" s="110">
        <v>78000</v>
      </c>
      <c r="K69" s="110">
        <v>0</v>
      </c>
      <c r="L69" s="141">
        <f t="shared" si="83"/>
        <v>60000</v>
      </c>
      <c r="M69" s="152"/>
      <c r="N69" s="110">
        <v>60000</v>
      </c>
      <c r="O69" s="152">
        <v>0</v>
      </c>
      <c r="P69" s="141">
        <f t="shared" si="77"/>
        <v>60000</v>
      </c>
      <c r="Q69" s="141">
        <f t="shared" si="78"/>
        <v>0</v>
      </c>
      <c r="R69" s="141">
        <f t="shared" si="79"/>
        <v>60000</v>
      </c>
      <c r="S69" s="141">
        <f t="shared" si="80"/>
        <v>0</v>
      </c>
      <c r="T69" s="141">
        <f t="shared" si="81"/>
        <v>90000</v>
      </c>
      <c r="U69" s="110">
        <v>0</v>
      </c>
      <c r="V69" s="110">
        <v>90000</v>
      </c>
      <c r="W69" s="110">
        <v>0</v>
      </c>
      <c r="X69" s="110">
        <v>0</v>
      </c>
      <c r="Y69" s="110">
        <v>0</v>
      </c>
      <c r="Z69" s="152"/>
    </row>
    <row r="70" spans="1:26" s="136" customFormat="1" ht="150">
      <c r="A70" s="107">
        <v>10</v>
      </c>
      <c r="B70" s="155" t="s">
        <v>404</v>
      </c>
      <c r="C70" s="148" t="s">
        <v>157</v>
      </c>
      <c r="D70" s="148"/>
      <c r="E70" s="107"/>
      <c r="F70" s="140" t="s">
        <v>446</v>
      </c>
      <c r="G70" s="110">
        <v>558000</v>
      </c>
      <c r="H70" s="110">
        <v>0</v>
      </c>
      <c r="I70" s="110">
        <v>300000</v>
      </c>
      <c r="J70" s="110">
        <v>258000</v>
      </c>
      <c r="K70" s="110">
        <v>0</v>
      </c>
      <c r="L70" s="141">
        <f t="shared" si="83"/>
        <v>120000</v>
      </c>
      <c r="M70" s="152"/>
      <c r="N70" s="110">
        <v>120000</v>
      </c>
      <c r="O70" s="152">
        <v>0</v>
      </c>
      <c r="P70" s="141">
        <f t="shared" si="77"/>
        <v>120000</v>
      </c>
      <c r="Q70" s="141">
        <f t="shared" si="78"/>
        <v>0</v>
      </c>
      <c r="R70" s="141">
        <f t="shared" si="79"/>
        <v>120000</v>
      </c>
      <c r="S70" s="141">
        <f t="shared" si="80"/>
        <v>0</v>
      </c>
      <c r="T70" s="141">
        <f t="shared" si="81"/>
        <v>133740</v>
      </c>
      <c r="U70" s="110">
        <v>0</v>
      </c>
      <c r="V70" s="110">
        <v>133740</v>
      </c>
      <c r="W70" s="110">
        <v>0</v>
      </c>
      <c r="X70" s="110">
        <v>0</v>
      </c>
      <c r="Y70" s="110">
        <v>0</v>
      </c>
      <c r="Z70" s="152">
        <f t="shared" ref="Z70" si="84">SUM(Z71:Z76)</f>
        <v>0</v>
      </c>
    </row>
    <row r="71" spans="1:26" s="136" customFormat="1" ht="37.5">
      <c r="A71" s="107">
        <v>11</v>
      </c>
      <c r="B71" s="155" t="s">
        <v>405</v>
      </c>
      <c r="C71" s="148" t="s">
        <v>157</v>
      </c>
      <c r="D71" s="107"/>
      <c r="E71" s="107"/>
      <c r="F71" s="140" t="s">
        <v>447</v>
      </c>
      <c r="G71" s="110">
        <v>242000</v>
      </c>
      <c r="H71" s="110">
        <v>0</v>
      </c>
      <c r="I71" s="110">
        <v>0</v>
      </c>
      <c r="J71" s="110">
        <v>242000</v>
      </c>
      <c r="K71" s="110">
        <v>0</v>
      </c>
      <c r="L71" s="141">
        <f t="shared" si="83"/>
        <v>48000</v>
      </c>
      <c r="M71" s="152"/>
      <c r="N71" s="110">
        <v>0</v>
      </c>
      <c r="O71" s="152">
        <v>48000</v>
      </c>
      <c r="P71" s="141">
        <f t="shared" si="77"/>
        <v>48000</v>
      </c>
      <c r="Q71" s="141">
        <f t="shared" si="78"/>
        <v>0</v>
      </c>
      <c r="R71" s="141">
        <f t="shared" si="79"/>
        <v>0</v>
      </c>
      <c r="S71" s="141">
        <f t="shared" si="80"/>
        <v>48000</v>
      </c>
      <c r="T71" s="141">
        <f t="shared" si="81"/>
        <v>20000</v>
      </c>
      <c r="U71" s="110">
        <v>0</v>
      </c>
      <c r="V71" s="110">
        <v>0</v>
      </c>
      <c r="W71" s="110">
        <v>5000</v>
      </c>
      <c r="X71" s="110">
        <v>0</v>
      </c>
      <c r="Y71" s="110">
        <v>15000</v>
      </c>
      <c r="Z71" s="152"/>
    </row>
    <row r="72" spans="1:26" s="136" customFormat="1" ht="37.5">
      <c r="A72" s="107">
        <v>12</v>
      </c>
      <c r="B72" s="155" t="s">
        <v>406</v>
      </c>
      <c r="C72" s="148" t="s">
        <v>157</v>
      </c>
      <c r="D72" s="107"/>
      <c r="E72" s="107"/>
      <c r="F72" s="140" t="s">
        <v>448</v>
      </c>
      <c r="G72" s="110">
        <v>180000</v>
      </c>
      <c r="H72" s="110">
        <v>0</v>
      </c>
      <c r="I72" s="110">
        <v>100000</v>
      </c>
      <c r="J72" s="110">
        <v>80000</v>
      </c>
      <c r="K72" s="110">
        <v>0</v>
      </c>
      <c r="L72" s="141">
        <f t="shared" si="83"/>
        <v>25000</v>
      </c>
      <c r="M72" s="152"/>
      <c r="N72" s="110">
        <v>25000</v>
      </c>
      <c r="O72" s="152">
        <v>0</v>
      </c>
      <c r="P72" s="141">
        <f t="shared" si="77"/>
        <v>25000</v>
      </c>
      <c r="Q72" s="141">
        <f t="shared" si="78"/>
        <v>0</v>
      </c>
      <c r="R72" s="141">
        <f t="shared" si="79"/>
        <v>25000</v>
      </c>
      <c r="S72" s="141">
        <f t="shared" si="80"/>
        <v>0</v>
      </c>
      <c r="T72" s="141">
        <f t="shared" si="81"/>
        <v>75000</v>
      </c>
      <c r="U72" s="110">
        <v>0</v>
      </c>
      <c r="V72" s="110">
        <v>75000</v>
      </c>
      <c r="W72" s="110">
        <v>0</v>
      </c>
      <c r="X72" s="110">
        <v>0</v>
      </c>
      <c r="Y72" s="110">
        <v>0</v>
      </c>
      <c r="Z72" s="152"/>
    </row>
    <row r="73" spans="1:26" s="136" customFormat="1" ht="37.5">
      <c r="A73" s="107">
        <v>13</v>
      </c>
      <c r="B73" s="155" t="s">
        <v>407</v>
      </c>
      <c r="C73" s="148" t="s">
        <v>157</v>
      </c>
      <c r="D73" s="107"/>
      <c r="E73" s="107"/>
      <c r="F73" s="140" t="s">
        <v>449</v>
      </c>
      <c r="G73" s="110">
        <v>115000</v>
      </c>
      <c r="H73" s="110">
        <v>0</v>
      </c>
      <c r="I73" s="110">
        <v>0</v>
      </c>
      <c r="J73" s="110">
        <v>115000</v>
      </c>
      <c r="K73" s="110">
        <v>0</v>
      </c>
      <c r="L73" s="141">
        <f t="shared" si="83"/>
        <v>13000</v>
      </c>
      <c r="M73" s="152"/>
      <c r="N73" s="110">
        <v>0</v>
      </c>
      <c r="O73" s="152">
        <v>13000</v>
      </c>
      <c r="P73" s="141">
        <f t="shared" si="77"/>
        <v>13000</v>
      </c>
      <c r="Q73" s="141">
        <f t="shared" si="78"/>
        <v>0</v>
      </c>
      <c r="R73" s="141">
        <f t="shared" si="79"/>
        <v>0</v>
      </c>
      <c r="S73" s="141">
        <f t="shared" si="80"/>
        <v>13000</v>
      </c>
      <c r="T73" s="141">
        <f t="shared" si="81"/>
        <v>20000</v>
      </c>
      <c r="U73" s="110">
        <v>0</v>
      </c>
      <c r="V73" s="110">
        <v>0</v>
      </c>
      <c r="W73" s="110">
        <v>5000</v>
      </c>
      <c r="X73" s="110">
        <v>0</v>
      </c>
      <c r="Y73" s="110">
        <v>15000</v>
      </c>
      <c r="Z73" s="152"/>
    </row>
    <row r="74" spans="1:26" s="104" customFormat="1" ht="37.15" customHeight="1">
      <c r="A74" s="132" t="s">
        <v>22</v>
      </c>
      <c r="B74" s="108" t="s">
        <v>274</v>
      </c>
      <c r="C74" s="163"/>
      <c r="D74" s="106"/>
      <c r="E74" s="106"/>
      <c r="F74" s="108"/>
      <c r="G74" s="109">
        <f>G75</f>
        <v>143639.28</v>
      </c>
      <c r="H74" s="109">
        <f t="shared" ref="H74:S74" si="85">H75</f>
        <v>118920.6</v>
      </c>
      <c r="I74" s="109" t="str">
        <f t="shared" si="85"/>
        <v/>
      </c>
      <c r="J74" s="109">
        <f t="shared" si="85"/>
        <v>24718.68</v>
      </c>
      <c r="K74" s="109">
        <f t="shared" si="85"/>
        <v>0</v>
      </c>
      <c r="L74" s="109">
        <f t="shared" si="85"/>
        <v>111325</v>
      </c>
      <c r="M74" s="109">
        <f t="shared" si="85"/>
        <v>0</v>
      </c>
      <c r="N74" s="109">
        <f t="shared" si="85"/>
        <v>93591</v>
      </c>
      <c r="O74" s="109">
        <f t="shared" si="85"/>
        <v>17734</v>
      </c>
      <c r="P74" s="109">
        <f t="shared" si="85"/>
        <v>111325</v>
      </c>
      <c r="Q74" s="109">
        <f t="shared" si="85"/>
        <v>0</v>
      </c>
      <c r="R74" s="109">
        <f t="shared" si="85"/>
        <v>93591</v>
      </c>
      <c r="S74" s="109">
        <f t="shared" si="85"/>
        <v>17734</v>
      </c>
      <c r="T74" s="130">
        <f t="shared" si="81"/>
        <v>9054</v>
      </c>
      <c r="U74" s="109">
        <v>5554</v>
      </c>
      <c r="V74" s="109">
        <f t="shared" ref="V74" si="86">V75</f>
        <v>0</v>
      </c>
      <c r="W74" s="109">
        <f t="shared" ref="W74:Y74" si="87">W75</f>
        <v>0</v>
      </c>
      <c r="X74" s="109">
        <f t="shared" si="87"/>
        <v>0</v>
      </c>
      <c r="Y74" s="109">
        <f t="shared" si="87"/>
        <v>3500</v>
      </c>
      <c r="Z74" s="147"/>
    </row>
    <row r="75" spans="1:26" s="136" customFormat="1" ht="187.5">
      <c r="A75" s="107">
        <v>1</v>
      </c>
      <c r="B75" s="155" t="s">
        <v>275</v>
      </c>
      <c r="C75" s="148" t="s">
        <v>157</v>
      </c>
      <c r="D75" s="107"/>
      <c r="E75" s="107"/>
      <c r="F75" s="140" t="s">
        <v>450</v>
      </c>
      <c r="G75" s="110">
        <v>143639.28</v>
      </c>
      <c r="H75" s="110">
        <v>118920.6</v>
      </c>
      <c r="I75" s="110" t="s">
        <v>336</v>
      </c>
      <c r="J75" s="110">
        <v>24718.68</v>
      </c>
      <c r="K75" s="110">
        <v>0</v>
      </c>
      <c r="L75" s="141">
        <f t="shared" ref="L75" si="88">SUM(M75:O75)</f>
        <v>111325</v>
      </c>
      <c r="M75" s="152"/>
      <c r="N75" s="110">
        <v>93591</v>
      </c>
      <c r="O75" s="152">
        <v>17734</v>
      </c>
      <c r="P75" s="141">
        <f>SUM(Q75:S75)</f>
        <v>111325</v>
      </c>
      <c r="Q75" s="141">
        <f>M75</f>
        <v>0</v>
      </c>
      <c r="R75" s="141">
        <f>N75</f>
        <v>93591</v>
      </c>
      <c r="S75" s="141">
        <f>O75</f>
        <v>17734</v>
      </c>
      <c r="T75" s="141">
        <f t="shared" si="81"/>
        <v>9054</v>
      </c>
      <c r="U75" s="110">
        <v>5554</v>
      </c>
      <c r="V75" s="110">
        <v>0</v>
      </c>
      <c r="W75" s="110">
        <v>0</v>
      </c>
      <c r="X75" s="110">
        <v>0</v>
      </c>
      <c r="Y75" s="110">
        <v>3500</v>
      </c>
      <c r="Z75" s="152"/>
    </row>
    <row r="76" spans="1:26" s="104" customFormat="1" ht="36" customHeight="1">
      <c r="A76" s="132" t="s">
        <v>23</v>
      </c>
      <c r="B76" s="108" t="s">
        <v>276</v>
      </c>
      <c r="C76" s="163"/>
      <c r="D76" s="106"/>
      <c r="E76" s="106"/>
      <c r="F76" s="108"/>
      <c r="G76" s="109">
        <f>G77</f>
        <v>55292</v>
      </c>
      <c r="H76" s="109">
        <f t="shared" ref="H76:S76" si="89">H77</f>
        <v>0</v>
      </c>
      <c r="I76" s="109">
        <f t="shared" si="89"/>
        <v>0</v>
      </c>
      <c r="J76" s="109">
        <f t="shared" si="89"/>
        <v>55292</v>
      </c>
      <c r="K76" s="109">
        <f t="shared" si="89"/>
        <v>0</v>
      </c>
      <c r="L76" s="109">
        <f t="shared" si="89"/>
        <v>38573</v>
      </c>
      <c r="M76" s="109">
        <f t="shared" si="89"/>
        <v>0</v>
      </c>
      <c r="N76" s="109">
        <f t="shared" si="89"/>
        <v>0</v>
      </c>
      <c r="O76" s="109">
        <f t="shared" si="89"/>
        <v>38573</v>
      </c>
      <c r="P76" s="109">
        <f t="shared" si="89"/>
        <v>38573</v>
      </c>
      <c r="Q76" s="109">
        <f t="shared" si="89"/>
        <v>0</v>
      </c>
      <c r="R76" s="109">
        <f t="shared" si="89"/>
        <v>0</v>
      </c>
      <c r="S76" s="109">
        <f t="shared" si="89"/>
        <v>38573</v>
      </c>
      <c r="T76" s="130">
        <f>T77</f>
        <v>10000</v>
      </c>
      <c r="U76" s="130">
        <f t="shared" ref="U76:Z76" si="90">U77</f>
        <v>0</v>
      </c>
      <c r="V76" s="130">
        <f t="shared" si="90"/>
        <v>0</v>
      </c>
      <c r="W76" s="130">
        <f t="shared" si="90"/>
        <v>10000</v>
      </c>
      <c r="X76" s="130">
        <f t="shared" si="90"/>
        <v>0</v>
      </c>
      <c r="Y76" s="130">
        <f t="shared" si="90"/>
        <v>0</v>
      </c>
      <c r="Z76" s="130">
        <f t="shared" si="90"/>
        <v>0</v>
      </c>
    </row>
    <row r="77" spans="1:26" s="136" customFormat="1" ht="48" customHeight="1">
      <c r="A77" s="107">
        <v>1</v>
      </c>
      <c r="B77" s="155" t="s">
        <v>277</v>
      </c>
      <c r="C77" s="148" t="s">
        <v>157</v>
      </c>
      <c r="D77" s="148"/>
      <c r="E77" s="107"/>
      <c r="F77" s="140" t="s">
        <v>350</v>
      </c>
      <c r="G77" s="110">
        <v>55292</v>
      </c>
      <c r="H77" s="110">
        <v>0</v>
      </c>
      <c r="I77" s="110">
        <v>0</v>
      </c>
      <c r="J77" s="110">
        <v>55292</v>
      </c>
      <c r="K77" s="110">
        <v>0</v>
      </c>
      <c r="L77" s="141">
        <f t="shared" ref="L77" si="91">SUM(M77:O77)</f>
        <v>38573</v>
      </c>
      <c r="M77" s="152"/>
      <c r="N77" s="110">
        <v>0</v>
      </c>
      <c r="O77" s="152">
        <v>38573</v>
      </c>
      <c r="P77" s="141">
        <f>SUM(Q77:S77)</f>
        <v>38573</v>
      </c>
      <c r="Q77" s="141">
        <f>M77</f>
        <v>0</v>
      </c>
      <c r="R77" s="141">
        <f>N77</f>
        <v>0</v>
      </c>
      <c r="S77" s="141">
        <f>O77</f>
        <v>38573</v>
      </c>
      <c r="T77" s="152">
        <f>SUM(U77:Z77)</f>
        <v>10000</v>
      </c>
      <c r="U77" s="110">
        <v>0</v>
      </c>
      <c r="V77" s="110">
        <v>0</v>
      </c>
      <c r="W77" s="110">
        <v>10000</v>
      </c>
      <c r="X77" s="110">
        <v>0</v>
      </c>
      <c r="Y77" s="110">
        <v>0</v>
      </c>
      <c r="Z77" s="152">
        <f t="shared" ref="Z77" si="92">SUM(Z78:Z81)</f>
        <v>0</v>
      </c>
    </row>
    <row r="78" spans="1:26" s="104" customFormat="1" ht="46.9" customHeight="1">
      <c r="A78" s="132" t="s">
        <v>24</v>
      </c>
      <c r="B78" s="108" t="s">
        <v>485</v>
      </c>
      <c r="C78" s="153"/>
      <c r="D78" s="153"/>
      <c r="E78" s="106"/>
      <c r="F78" s="108">
        <v>0</v>
      </c>
      <c r="G78" s="109">
        <f>G79</f>
        <v>526600</v>
      </c>
      <c r="H78" s="109">
        <f t="shared" ref="H78:S78" si="93">H79</f>
        <v>0</v>
      </c>
      <c r="I78" s="109">
        <f t="shared" si="93"/>
        <v>95000</v>
      </c>
      <c r="J78" s="109">
        <f t="shared" si="93"/>
        <v>431600</v>
      </c>
      <c r="K78" s="109">
        <f t="shared" si="93"/>
        <v>0</v>
      </c>
      <c r="L78" s="109">
        <f t="shared" si="93"/>
        <v>226604</v>
      </c>
      <c r="M78" s="109">
        <f t="shared" si="93"/>
        <v>0</v>
      </c>
      <c r="N78" s="109">
        <f t="shared" si="93"/>
        <v>95000</v>
      </c>
      <c r="O78" s="109">
        <f t="shared" si="93"/>
        <v>131604</v>
      </c>
      <c r="P78" s="109">
        <f t="shared" si="93"/>
        <v>226604</v>
      </c>
      <c r="Q78" s="109">
        <f t="shared" si="93"/>
        <v>0</v>
      </c>
      <c r="R78" s="109">
        <f t="shared" si="93"/>
        <v>95000</v>
      </c>
      <c r="S78" s="109">
        <f t="shared" si="93"/>
        <v>131604</v>
      </c>
      <c r="T78" s="130">
        <f t="shared" ref="T78:T82" si="94">SUM(U78:Z78)</f>
        <v>50000</v>
      </c>
      <c r="U78" s="109">
        <v>0</v>
      </c>
      <c r="V78" s="109">
        <f t="shared" ref="V78" si="95">V79</f>
        <v>0</v>
      </c>
      <c r="W78" s="109">
        <f t="shared" ref="W78:Y78" si="96">W79</f>
        <v>16270</v>
      </c>
      <c r="X78" s="109">
        <f t="shared" si="96"/>
        <v>0</v>
      </c>
      <c r="Y78" s="109">
        <f t="shared" si="96"/>
        <v>33730</v>
      </c>
      <c r="Z78" s="147"/>
    </row>
    <row r="79" spans="1:26" s="136" customFormat="1" ht="157.15" customHeight="1">
      <c r="A79" s="107">
        <v>1</v>
      </c>
      <c r="B79" s="155" t="s">
        <v>178</v>
      </c>
      <c r="C79" s="148" t="s">
        <v>157</v>
      </c>
      <c r="D79" s="148"/>
      <c r="E79" s="107"/>
      <c r="F79" s="140" t="s">
        <v>451</v>
      </c>
      <c r="G79" s="110">
        <v>526600</v>
      </c>
      <c r="H79" s="110">
        <v>0</v>
      </c>
      <c r="I79" s="110">
        <v>95000</v>
      </c>
      <c r="J79" s="110">
        <v>431600</v>
      </c>
      <c r="K79" s="110">
        <v>0</v>
      </c>
      <c r="L79" s="141">
        <f t="shared" ref="L79" si="97">SUM(M79:O79)</f>
        <v>226604</v>
      </c>
      <c r="M79" s="152"/>
      <c r="N79" s="110">
        <v>95000</v>
      </c>
      <c r="O79" s="152">
        <v>131604</v>
      </c>
      <c r="P79" s="141">
        <f>SUM(Q79:S79)</f>
        <v>226604</v>
      </c>
      <c r="Q79" s="141">
        <f>M79</f>
        <v>0</v>
      </c>
      <c r="R79" s="141">
        <f>N79</f>
        <v>95000</v>
      </c>
      <c r="S79" s="141">
        <f>O79</f>
        <v>131604</v>
      </c>
      <c r="T79" s="141">
        <f t="shared" si="94"/>
        <v>50000</v>
      </c>
      <c r="U79" s="110">
        <v>0</v>
      </c>
      <c r="V79" s="110">
        <v>0</v>
      </c>
      <c r="W79" s="110">
        <v>16270</v>
      </c>
      <c r="X79" s="110">
        <v>0</v>
      </c>
      <c r="Y79" s="110">
        <v>33730</v>
      </c>
      <c r="Z79" s="152"/>
    </row>
    <row r="80" spans="1:26" s="136" customFormat="1" ht="37.5">
      <c r="A80" s="132" t="s">
        <v>25</v>
      </c>
      <c r="B80" s="108" t="s">
        <v>278</v>
      </c>
      <c r="C80" s="148"/>
      <c r="D80" s="148"/>
      <c r="E80" s="107"/>
      <c r="F80" s="108"/>
      <c r="G80" s="109">
        <f>SUM(G81:G82)</f>
        <v>633161</v>
      </c>
      <c r="H80" s="109">
        <f t="shared" ref="H80:S80" si="98">SUM(H81:H82)</f>
        <v>0</v>
      </c>
      <c r="I80" s="109">
        <f t="shared" si="98"/>
        <v>0</v>
      </c>
      <c r="J80" s="109">
        <f t="shared" si="98"/>
        <v>633161</v>
      </c>
      <c r="K80" s="109">
        <f t="shared" si="98"/>
        <v>0</v>
      </c>
      <c r="L80" s="109">
        <f t="shared" si="98"/>
        <v>138711</v>
      </c>
      <c r="M80" s="109">
        <f t="shared" si="98"/>
        <v>0</v>
      </c>
      <c r="N80" s="109">
        <f t="shared" si="98"/>
        <v>0</v>
      </c>
      <c r="O80" s="109">
        <f t="shared" si="98"/>
        <v>138711</v>
      </c>
      <c r="P80" s="109">
        <f t="shared" si="98"/>
        <v>138711</v>
      </c>
      <c r="Q80" s="109">
        <f t="shared" si="98"/>
        <v>0</v>
      </c>
      <c r="R80" s="109">
        <f t="shared" si="98"/>
        <v>0</v>
      </c>
      <c r="S80" s="109">
        <f t="shared" si="98"/>
        <v>138711</v>
      </c>
      <c r="T80" s="141">
        <f>T81+T82</f>
        <v>30000</v>
      </c>
      <c r="U80" s="141">
        <f t="shared" ref="U80:Z80" si="99">U81+U82</f>
        <v>0</v>
      </c>
      <c r="V80" s="141">
        <f t="shared" si="99"/>
        <v>0</v>
      </c>
      <c r="W80" s="141">
        <f t="shared" si="99"/>
        <v>22000</v>
      </c>
      <c r="X80" s="141">
        <f t="shared" si="99"/>
        <v>0</v>
      </c>
      <c r="Y80" s="141">
        <f t="shared" si="99"/>
        <v>8000</v>
      </c>
      <c r="Z80" s="141">
        <f t="shared" si="99"/>
        <v>0</v>
      </c>
    </row>
    <row r="81" spans="1:26" s="136" customFormat="1" ht="66">
      <c r="A81" s="107">
        <v>1</v>
      </c>
      <c r="B81" s="155" t="s">
        <v>279</v>
      </c>
      <c r="C81" s="148" t="s">
        <v>157</v>
      </c>
      <c r="D81" s="148"/>
      <c r="E81" s="107"/>
      <c r="F81" s="162" t="s">
        <v>452</v>
      </c>
      <c r="G81" s="110">
        <v>433161</v>
      </c>
      <c r="H81" s="110">
        <v>0</v>
      </c>
      <c r="I81" s="110">
        <v>0</v>
      </c>
      <c r="J81" s="110">
        <v>433161</v>
      </c>
      <c r="K81" s="110">
        <v>0</v>
      </c>
      <c r="L81" s="141">
        <f t="shared" ref="L81:L82" si="100">SUM(M81:O81)</f>
        <v>99884</v>
      </c>
      <c r="M81" s="152"/>
      <c r="N81" s="110">
        <v>0</v>
      </c>
      <c r="O81" s="152">
        <v>99884</v>
      </c>
      <c r="P81" s="141">
        <f>SUM(Q81:S81)</f>
        <v>99884</v>
      </c>
      <c r="Q81" s="141">
        <f t="shared" ref="Q81:S82" si="101">M81</f>
        <v>0</v>
      </c>
      <c r="R81" s="141">
        <f t="shared" si="101"/>
        <v>0</v>
      </c>
      <c r="S81" s="141">
        <f t="shared" si="101"/>
        <v>99884</v>
      </c>
      <c r="T81" s="141">
        <f t="shared" si="94"/>
        <v>5000</v>
      </c>
      <c r="U81" s="110">
        <v>0</v>
      </c>
      <c r="V81" s="110">
        <v>0</v>
      </c>
      <c r="W81" s="110">
        <v>2000</v>
      </c>
      <c r="X81" s="110">
        <v>0</v>
      </c>
      <c r="Y81" s="110">
        <v>3000</v>
      </c>
      <c r="Z81" s="152"/>
    </row>
    <row r="82" spans="1:26" s="136" customFormat="1" ht="37.5">
      <c r="A82" s="107">
        <v>2</v>
      </c>
      <c r="B82" s="155" t="s">
        <v>280</v>
      </c>
      <c r="C82" s="148" t="s">
        <v>157</v>
      </c>
      <c r="D82" s="148"/>
      <c r="E82" s="107"/>
      <c r="F82" s="162" t="s">
        <v>453</v>
      </c>
      <c r="G82" s="110">
        <v>200000</v>
      </c>
      <c r="H82" s="110">
        <v>0</v>
      </c>
      <c r="I82" s="110">
        <v>0</v>
      </c>
      <c r="J82" s="110">
        <v>200000</v>
      </c>
      <c r="K82" s="110">
        <v>0</v>
      </c>
      <c r="L82" s="141">
        <f t="shared" si="100"/>
        <v>38827</v>
      </c>
      <c r="M82" s="152"/>
      <c r="N82" s="110">
        <v>0</v>
      </c>
      <c r="O82" s="152">
        <v>38827</v>
      </c>
      <c r="P82" s="141">
        <f>SUM(Q82:S82)</f>
        <v>38827</v>
      </c>
      <c r="Q82" s="141">
        <f t="shared" si="101"/>
        <v>0</v>
      </c>
      <c r="R82" s="141">
        <f t="shared" si="101"/>
        <v>0</v>
      </c>
      <c r="S82" s="141">
        <f t="shared" si="101"/>
        <v>38827</v>
      </c>
      <c r="T82" s="141">
        <f t="shared" si="94"/>
        <v>25000</v>
      </c>
      <c r="U82" s="110">
        <v>0</v>
      </c>
      <c r="V82" s="110">
        <v>0</v>
      </c>
      <c r="W82" s="110">
        <v>20000</v>
      </c>
      <c r="X82" s="110">
        <v>0</v>
      </c>
      <c r="Y82" s="110">
        <v>5000</v>
      </c>
      <c r="Z82" s="152">
        <f t="shared" ref="Z82" si="102">SUM(Z83:Z88)</f>
        <v>0</v>
      </c>
    </row>
    <row r="83" spans="1:26" s="136" customFormat="1" ht="37.9" customHeight="1">
      <c r="A83" s="132" t="s">
        <v>26</v>
      </c>
      <c r="B83" s="108" t="s">
        <v>255</v>
      </c>
      <c r="C83" s="161"/>
      <c r="D83" s="161"/>
      <c r="E83" s="107"/>
      <c r="F83" s="108"/>
      <c r="G83" s="109">
        <f>G84</f>
        <v>40000</v>
      </c>
      <c r="H83" s="109">
        <f t="shared" ref="H83:Z83" si="103">H84</f>
        <v>0</v>
      </c>
      <c r="I83" s="109">
        <f t="shared" si="103"/>
        <v>0</v>
      </c>
      <c r="J83" s="109">
        <f t="shared" si="103"/>
        <v>20000</v>
      </c>
      <c r="K83" s="109">
        <f t="shared" si="103"/>
        <v>20000</v>
      </c>
      <c r="L83" s="109">
        <f t="shared" si="103"/>
        <v>10262.9</v>
      </c>
      <c r="M83" s="109">
        <f t="shared" si="103"/>
        <v>0</v>
      </c>
      <c r="N83" s="109">
        <f t="shared" si="103"/>
        <v>0</v>
      </c>
      <c r="O83" s="109">
        <f t="shared" si="103"/>
        <v>10262.9</v>
      </c>
      <c r="P83" s="109">
        <f t="shared" si="103"/>
        <v>10262.9</v>
      </c>
      <c r="Q83" s="109">
        <f t="shared" si="103"/>
        <v>0</v>
      </c>
      <c r="R83" s="109">
        <f t="shared" si="103"/>
        <v>0</v>
      </c>
      <c r="S83" s="109">
        <f t="shared" si="103"/>
        <v>10262.9</v>
      </c>
      <c r="T83" s="109">
        <f t="shared" si="103"/>
        <v>9000</v>
      </c>
      <c r="U83" s="109">
        <f t="shared" si="103"/>
        <v>0</v>
      </c>
      <c r="V83" s="109">
        <f t="shared" si="103"/>
        <v>0</v>
      </c>
      <c r="W83" s="109">
        <f t="shared" si="103"/>
        <v>5000</v>
      </c>
      <c r="X83" s="109">
        <f t="shared" si="103"/>
        <v>0</v>
      </c>
      <c r="Y83" s="109">
        <f t="shared" si="103"/>
        <v>4000</v>
      </c>
      <c r="Z83" s="109">
        <f t="shared" si="103"/>
        <v>0</v>
      </c>
    </row>
    <row r="84" spans="1:26" s="136" customFormat="1" ht="66">
      <c r="A84" s="107">
        <v>1</v>
      </c>
      <c r="B84" s="155" t="s">
        <v>163</v>
      </c>
      <c r="C84" s="161" t="s">
        <v>159</v>
      </c>
      <c r="D84" s="161"/>
      <c r="E84" s="107"/>
      <c r="F84" s="162" t="s">
        <v>454</v>
      </c>
      <c r="G84" s="110">
        <v>40000</v>
      </c>
      <c r="H84" s="110">
        <v>0</v>
      </c>
      <c r="I84" s="110">
        <v>0</v>
      </c>
      <c r="J84" s="110">
        <v>20000</v>
      </c>
      <c r="K84" s="110">
        <v>20000</v>
      </c>
      <c r="L84" s="141">
        <f t="shared" ref="L84" si="104">SUM(M84:O84)</f>
        <v>10262.9</v>
      </c>
      <c r="M84" s="152"/>
      <c r="N84" s="110">
        <v>0</v>
      </c>
      <c r="O84" s="152">
        <v>10262.9</v>
      </c>
      <c r="P84" s="141">
        <f>SUM(Q84:S84)</f>
        <v>10262.9</v>
      </c>
      <c r="Q84" s="141">
        <f>M84</f>
        <v>0</v>
      </c>
      <c r="R84" s="141">
        <f>N84</f>
        <v>0</v>
      </c>
      <c r="S84" s="141">
        <f>O84</f>
        <v>10262.9</v>
      </c>
      <c r="T84" s="141">
        <f t="shared" ref="T84:T88" si="105">SUM(U84:Z84)</f>
        <v>9000</v>
      </c>
      <c r="U84" s="110">
        <v>0</v>
      </c>
      <c r="V84" s="110">
        <v>0</v>
      </c>
      <c r="W84" s="110">
        <v>5000</v>
      </c>
      <c r="X84" s="110">
        <v>0</v>
      </c>
      <c r="Y84" s="110">
        <v>4000</v>
      </c>
      <c r="Z84" s="152"/>
    </row>
    <row r="85" spans="1:26" s="104" customFormat="1" ht="37.5">
      <c r="A85" s="132" t="s">
        <v>343</v>
      </c>
      <c r="B85" s="108" t="s">
        <v>281</v>
      </c>
      <c r="C85" s="160"/>
      <c r="D85" s="160"/>
      <c r="E85" s="106"/>
      <c r="F85" s="108"/>
      <c r="G85" s="109">
        <f>G86</f>
        <v>79000</v>
      </c>
      <c r="H85" s="109">
        <f t="shared" ref="H85:Z85" si="106">H86</f>
        <v>0</v>
      </c>
      <c r="I85" s="109">
        <f t="shared" si="106"/>
        <v>0</v>
      </c>
      <c r="J85" s="109">
        <f t="shared" si="106"/>
        <v>55300</v>
      </c>
      <c r="K85" s="109">
        <f t="shared" si="106"/>
        <v>23700</v>
      </c>
      <c r="L85" s="109">
        <f t="shared" si="106"/>
        <v>25089</v>
      </c>
      <c r="M85" s="109">
        <f t="shared" si="106"/>
        <v>0</v>
      </c>
      <c r="N85" s="109">
        <f t="shared" si="106"/>
        <v>0</v>
      </c>
      <c r="O85" s="109">
        <f t="shared" si="106"/>
        <v>25089</v>
      </c>
      <c r="P85" s="109">
        <f t="shared" si="106"/>
        <v>25089</v>
      </c>
      <c r="Q85" s="109">
        <f t="shared" si="106"/>
        <v>0</v>
      </c>
      <c r="R85" s="109">
        <f t="shared" si="106"/>
        <v>0</v>
      </c>
      <c r="S85" s="109">
        <f t="shared" si="106"/>
        <v>25089</v>
      </c>
      <c r="T85" s="109">
        <f t="shared" si="106"/>
        <v>10000</v>
      </c>
      <c r="U85" s="109">
        <f t="shared" si="106"/>
        <v>0</v>
      </c>
      <c r="V85" s="109">
        <f t="shared" si="106"/>
        <v>0</v>
      </c>
      <c r="W85" s="109">
        <f t="shared" si="106"/>
        <v>5000</v>
      </c>
      <c r="X85" s="109">
        <f t="shared" si="106"/>
        <v>0</v>
      </c>
      <c r="Y85" s="109">
        <f t="shared" si="106"/>
        <v>5000</v>
      </c>
      <c r="Z85" s="109">
        <f t="shared" si="106"/>
        <v>0</v>
      </c>
    </row>
    <row r="86" spans="1:26" s="136" customFormat="1" ht="37.5">
      <c r="A86" s="107">
        <v>1</v>
      </c>
      <c r="B86" s="155" t="s">
        <v>408</v>
      </c>
      <c r="C86" s="161" t="s">
        <v>158</v>
      </c>
      <c r="D86" s="161"/>
      <c r="E86" s="107"/>
      <c r="F86" s="140" t="s">
        <v>455</v>
      </c>
      <c r="G86" s="110">
        <v>79000</v>
      </c>
      <c r="H86" s="110">
        <v>0</v>
      </c>
      <c r="I86" s="110">
        <v>0</v>
      </c>
      <c r="J86" s="110">
        <v>55300</v>
      </c>
      <c r="K86" s="110">
        <v>23700</v>
      </c>
      <c r="L86" s="141">
        <f t="shared" ref="L86" si="107">SUM(M86:O86)</f>
        <v>25089</v>
      </c>
      <c r="M86" s="152"/>
      <c r="N86" s="110">
        <v>0</v>
      </c>
      <c r="O86" s="152">
        <v>25089</v>
      </c>
      <c r="P86" s="141">
        <f>SUM(Q86:S86)</f>
        <v>25089</v>
      </c>
      <c r="Q86" s="141">
        <f>M86</f>
        <v>0</v>
      </c>
      <c r="R86" s="141">
        <f>N86</f>
        <v>0</v>
      </c>
      <c r="S86" s="141">
        <f>O86</f>
        <v>25089</v>
      </c>
      <c r="T86" s="141">
        <f t="shared" si="105"/>
        <v>10000</v>
      </c>
      <c r="U86" s="110">
        <v>0</v>
      </c>
      <c r="V86" s="110">
        <v>0</v>
      </c>
      <c r="W86" s="110">
        <v>5000</v>
      </c>
      <c r="X86" s="110">
        <v>0</v>
      </c>
      <c r="Y86" s="110">
        <v>5000</v>
      </c>
      <c r="Z86" s="152"/>
    </row>
    <row r="87" spans="1:26" s="136" customFormat="1">
      <c r="A87" s="132" t="s">
        <v>346</v>
      </c>
      <c r="B87" s="108" t="s">
        <v>282</v>
      </c>
      <c r="C87" s="161"/>
      <c r="D87" s="161"/>
      <c r="E87" s="107"/>
      <c r="F87" s="108"/>
      <c r="G87" s="109">
        <f>G88</f>
        <v>2925</v>
      </c>
      <c r="H87" s="109">
        <f t="shared" ref="H87:Z87" si="108">H88</f>
        <v>0</v>
      </c>
      <c r="I87" s="109">
        <f t="shared" si="108"/>
        <v>0</v>
      </c>
      <c r="J87" s="109">
        <f t="shared" si="108"/>
        <v>2925</v>
      </c>
      <c r="K87" s="109">
        <f t="shared" si="108"/>
        <v>0</v>
      </c>
      <c r="L87" s="109">
        <f t="shared" si="108"/>
        <v>0</v>
      </c>
      <c r="M87" s="109">
        <f t="shared" si="108"/>
        <v>0</v>
      </c>
      <c r="N87" s="109">
        <f t="shared" si="108"/>
        <v>0</v>
      </c>
      <c r="O87" s="109">
        <f t="shared" si="108"/>
        <v>0</v>
      </c>
      <c r="P87" s="109">
        <f t="shared" si="108"/>
        <v>0</v>
      </c>
      <c r="Q87" s="109">
        <f t="shared" si="108"/>
        <v>0</v>
      </c>
      <c r="R87" s="109">
        <f t="shared" si="108"/>
        <v>0</v>
      </c>
      <c r="S87" s="109">
        <f t="shared" si="108"/>
        <v>0</v>
      </c>
      <c r="T87" s="109">
        <f t="shared" si="108"/>
        <v>500</v>
      </c>
      <c r="U87" s="109">
        <f t="shared" si="108"/>
        <v>0</v>
      </c>
      <c r="V87" s="109">
        <f t="shared" si="108"/>
        <v>0</v>
      </c>
      <c r="W87" s="109">
        <f t="shared" si="108"/>
        <v>500</v>
      </c>
      <c r="X87" s="109">
        <f t="shared" si="108"/>
        <v>0</v>
      </c>
      <c r="Y87" s="109">
        <f t="shared" si="108"/>
        <v>0</v>
      </c>
      <c r="Z87" s="109">
        <f t="shared" si="108"/>
        <v>0</v>
      </c>
    </row>
    <row r="88" spans="1:26" s="136" customFormat="1" ht="37.5">
      <c r="A88" s="107">
        <v>1</v>
      </c>
      <c r="B88" s="155" t="s">
        <v>409</v>
      </c>
      <c r="C88" s="161" t="s">
        <v>167</v>
      </c>
      <c r="D88" s="161"/>
      <c r="E88" s="107"/>
      <c r="F88" s="140" t="s">
        <v>456</v>
      </c>
      <c r="G88" s="110">
        <v>2925</v>
      </c>
      <c r="H88" s="110">
        <v>0</v>
      </c>
      <c r="I88" s="110">
        <v>0</v>
      </c>
      <c r="J88" s="110">
        <v>2925</v>
      </c>
      <c r="K88" s="110">
        <v>0</v>
      </c>
      <c r="L88" s="141">
        <f t="shared" ref="L88" si="109">SUM(M88:O88)</f>
        <v>0</v>
      </c>
      <c r="M88" s="152"/>
      <c r="N88" s="110">
        <v>0</v>
      </c>
      <c r="O88" s="152">
        <v>0</v>
      </c>
      <c r="P88" s="141">
        <f>SUM(Q88:S88)</f>
        <v>0</v>
      </c>
      <c r="Q88" s="141">
        <f>M88</f>
        <v>0</v>
      </c>
      <c r="R88" s="141">
        <f>N88</f>
        <v>0</v>
      </c>
      <c r="S88" s="141">
        <f>O88</f>
        <v>0</v>
      </c>
      <c r="T88" s="141">
        <f t="shared" si="105"/>
        <v>500</v>
      </c>
      <c r="U88" s="110">
        <v>0</v>
      </c>
      <c r="V88" s="110">
        <v>0</v>
      </c>
      <c r="W88" s="110">
        <v>500</v>
      </c>
      <c r="X88" s="110">
        <v>0</v>
      </c>
      <c r="Y88" s="110">
        <v>0</v>
      </c>
      <c r="Z88" s="152"/>
    </row>
    <row r="89" spans="1:26" s="136" customFormat="1" ht="41.45" customHeight="1">
      <c r="A89" s="132" t="s">
        <v>410</v>
      </c>
      <c r="B89" s="108" t="s">
        <v>283</v>
      </c>
      <c r="C89" s="161"/>
      <c r="D89" s="161"/>
      <c r="E89" s="107"/>
      <c r="F89" s="108"/>
      <c r="G89" s="109">
        <f>G90+G91</f>
        <v>87818</v>
      </c>
      <c r="H89" s="109">
        <f t="shared" ref="H89:Z89" si="110">H90+H91</f>
        <v>0</v>
      </c>
      <c r="I89" s="109">
        <f t="shared" si="110"/>
        <v>13226</v>
      </c>
      <c r="J89" s="109">
        <f t="shared" si="110"/>
        <v>74592</v>
      </c>
      <c r="K89" s="109">
        <f t="shared" si="110"/>
        <v>0</v>
      </c>
      <c r="L89" s="109">
        <f t="shared" si="110"/>
        <v>35013</v>
      </c>
      <c r="M89" s="109">
        <f t="shared" si="110"/>
        <v>0</v>
      </c>
      <c r="N89" s="109">
        <f t="shared" si="110"/>
        <v>13226</v>
      </c>
      <c r="O89" s="109">
        <f t="shared" si="110"/>
        <v>21787</v>
      </c>
      <c r="P89" s="109">
        <f t="shared" si="110"/>
        <v>35013</v>
      </c>
      <c r="Q89" s="109">
        <f t="shared" si="110"/>
        <v>0</v>
      </c>
      <c r="R89" s="109">
        <f t="shared" si="110"/>
        <v>13226</v>
      </c>
      <c r="S89" s="109">
        <f t="shared" si="110"/>
        <v>21787</v>
      </c>
      <c r="T89" s="109">
        <f t="shared" si="110"/>
        <v>21013</v>
      </c>
      <c r="U89" s="109">
        <f t="shared" si="110"/>
        <v>0</v>
      </c>
      <c r="V89" s="109">
        <f t="shared" si="110"/>
        <v>0</v>
      </c>
      <c r="W89" s="109">
        <f t="shared" si="110"/>
        <v>11013</v>
      </c>
      <c r="X89" s="109">
        <f t="shared" si="110"/>
        <v>0</v>
      </c>
      <c r="Y89" s="109">
        <f t="shared" si="110"/>
        <v>10000</v>
      </c>
      <c r="Z89" s="109">
        <f t="shared" si="110"/>
        <v>0</v>
      </c>
    </row>
    <row r="90" spans="1:26" s="136" customFormat="1" ht="56.25">
      <c r="A90" s="107">
        <v>1</v>
      </c>
      <c r="B90" s="155" t="s">
        <v>284</v>
      </c>
      <c r="C90" s="164" t="s">
        <v>167</v>
      </c>
      <c r="D90" s="161"/>
      <c r="E90" s="107"/>
      <c r="F90" s="140" t="s">
        <v>351</v>
      </c>
      <c r="G90" s="110">
        <v>27818</v>
      </c>
      <c r="H90" s="110">
        <v>0</v>
      </c>
      <c r="I90" s="110">
        <v>13226</v>
      </c>
      <c r="J90" s="110">
        <v>14592</v>
      </c>
      <c r="K90" s="110">
        <v>0</v>
      </c>
      <c r="L90" s="141">
        <f t="shared" ref="L90:L91" si="111">SUM(M90:O90)</f>
        <v>18226</v>
      </c>
      <c r="M90" s="152"/>
      <c r="N90" s="110">
        <v>13226</v>
      </c>
      <c r="O90" s="152">
        <v>5000</v>
      </c>
      <c r="P90" s="141">
        <f>SUM(Q90:S90)</f>
        <v>18226</v>
      </c>
      <c r="Q90" s="141">
        <f t="shared" ref="Q90:S91" si="112">M90</f>
        <v>0</v>
      </c>
      <c r="R90" s="141">
        <f t="shared" si="112"/>
        <v>13226</v>
      </c>
      <c r="S90" s="141">
        <f t="shared" si="112"/>
        <v>5000</v>
      </c>
      <c r="T90" s="141">
        <f t="shared" ref="T90:T91" si="113">SUM(U90:Z90)</f>
        <v>6013</v>
      </c>
      <c r="U90" s="110">
        <v>0</v>
      </c>
      <c r="V90" s="110">
        <v>0</v>
      </c>
      <c r="W90" s="110">
        <v>6013</v>
      </c>
      <c r="X90" s="110">
        <v>0</v>
      </c>
      <c r="Y90" s="110">
        <v>0</v>
      </c>
      <c r="Z90" s="152"/>
    </row>
    <row r="91" spans="1:26" s="136" customFormat="1" ht="37.5">
      <c r="A91" s="107">
        <v>2</v>
      </c>
      <c r="B91" s="155" t="s">
        <v>285</v>
      </c>
      <c r="C91" s="164" t="s">
        <v>167</v>
      </c>
      <c r="D91" s="161"/>
      <c r="E91" s="107"/>
      <c r="F91" s="140" t="s">
        <v>352</v>
      </c>
      <c r="G91" s="110">
        <v>60000</v>
      </c>
      <c r="H91" s="110">
        <v>0</v>
      </c>
      <c r="I91" s="110">
        <v>0</v>
      </c>
      <c r="J91" s="110">
        <v>60000</v>
      </c>
      <c r="K91" s="110">
        <v>0</v>
      </c>
      <c r="L91" s="141">
        <f t="shared" si="111"/>
        <v>16787</v>
      </c>
      <c r="M91" s="152"/>
      <c r="N91" s="110">
        <v>0</v>
      </c>
      <c r="O91" s="152">
        <v>16787</v>
      </c>
      <c r="P91" s="141">
        <f>SUM(Q91:S91)</f>
        <v>16787</v>
      </c>
      <c r="Q91" s="141">
        <f t="shared" si="112"/>
        <v>0</v>
      </c>
      <c r="R91" s="141">
        <f t="shared" si="112"/>
        <v>0</v>
      </c>
      <c r="S91" s="141">
        <f t="shared" si="112"/>
        <v>16787</v>
      </c>
      <c r="T91" s="141">
        <f t="shared" si="113"/>
        <v>15000</v>
      </c>
      <c r="U91" s="110">
        <v>0</v>
      </c>
      <c r="V91" s="110">
        <v>0</v>
      </c>
      <c r="W91" s="110">
        <v>5000</v>
      </c>
      <c r="X91" s="110">
        <v>0</v>
      </c>
      <c r="Y91" s="110">
        <v>10000</v>
      </c>
      <c r="Z91" s="152">
        <f t="shared" ref="Z91" si="114">SUM(Z92)</f>
        <v>0</v>
      </c>
    </row>
    <row r="92" spans="1:26" s="136" customFormat="1" ht="47.45" customHeight="1">
      <c r="A92" s="132" t="s">
        <v>180</v>
      </c>
      <c r="B92" s="108" t="s">
        <v>286</v>
      </c>
      <c r="C92" s="164"/>
      <c r="D92" s="148"/>
      <c r="E92" s="107"/>
      <c r="F92" s="108">
        <v>0</v>
      </c>
      <c r="G92" s="109">
        <f>G93+G94+G95</f>
        <v>193700</v>
      </c>
      <c r="H92" s="109">
        <f t="shared" ref="H92:Y92" si="115">H93+H94+H95</f>
        <v>0</v>
      </c>
      <c r="I92" s="109">
        <f t="shared" si="115"/>
        <v>0</v>
      </c>
      <c r="J92" s="109">
        <f t="shared" si="115"/>
        <v>127600</v>
      </c>
      <c r="K92" s="109">
        <f t="shared" si="115"/>
        <v>66100</v>
      </c>
      <c r="L92" s="109">
        <f t="shared" si="115"/>
        <v>109315.814</v>
      </c>
      <c r="M92" s="109">
        <f t="shared" si="115"/>
        <v>0</v>
      </c>
      <c r="N92" s="109">
        <f t="shared" si="115"/>
        <v>0</v>
      </c>
      <c r="O92" s="109">
        <f t="shared" si="115"/>
        <v>109315.814</v>
      </c>
      <c r="P92" s="109">
        <f t="shared" si="115"/>
        <v>109315.814</v>
      </c>
      <c r="Q92" s="109">
        <f t="shared" si="115"/>
        <v>0</v>
      </c>
      <c r="R92" s="109">
        <f t="shared" si="115"/>
        <v>0</v>
      </c>
      <c r="S92" s="109">
        <f t="shared" si="115"/>
        <v>109315.814</v>
      </c>
      <c r="T92" s="109">
        <f t="shared" si="115"/>
        <v>27688</v>
      </c>
      <c r="U92" s="109">
        <f t="shared" si="115"/>
        <v>0</v>
      </c>
      <c r="V92" s="109">
        <f t="shared" si="115"/>
        <v>0</v>
      </c>
      <c r="W92" s="109">
        <f t="shared" si="115"/>
        <v>16700</v>
      </c>
      <c r="X92" s="109">
        <f t="shared" si="115"/>
        <v>0</v>
      </c>
      <c r="Y92" s="109">
        <f t="shared" si="115"/>
        <v>10988</v>
      </c>
      <c r="Z92" s="152"/>
    </row>
    <row r="93" spans="1:26" s="136" customFormat="1" ht="75">
      <c r="A93" s="107">
        <v>1</v>
      </c>
      <c r="B93" s="155" t="s">
        <v>411</v>
      </c>
      <c r="C93" s="148" t="s">
        <v>162</v>
      </c>
      <c r="D93" s="148"/>
      <c r="E93" s="148"/>
      <c r="F93" s="140" t="s">
        <v>457</v>
      </c>
      <c r="G93" s="110">
        <v>16700</v>
      </c>
      <c r="H93" s="110">
        <v>0</v>
      </c>
      <c r="I93" s="110">
        <v>0</v>
      </c>
      <c r="J93" s="110">
        <v>16700</v>
      </c>
      <c r="K93" s="110">
        <v>0</v>
      </c>
      <c r="L93" s="141">
        <f t="shared" ref="L93:L95" si="116">SUM(M93:O93)</f>
        <v>13000</v>
      </c>
      <c r="M93" s="165"/>
      <c r="N93" s="110">
        <v>0</v>
      </c>
      <c r="O93" s="165">
        <v>13000</v>
      </c>
      <c r="P93" s="141">
        <f>SUM(Q93:S93)</f>
        <v>13000</v>
      </c>
      <c r="Q93" s="141">
        <f t="shared" ref="Q93:S95" si="117">M93</f>
        <v>0</v>
      </c>
      <c r="R93" s="141">
        <f t="shared" si="117"/>
        <v>0</v>
      </c>
      <c r="S93" s="141">
        <f t="shared" si="117"/>
        <v>13000</v>
      </c>
      <c r="T93" s="165">
        <f>SUM(U93:Z93)</f>
        <v>3700</v>
      </c>
      <c r="U93" s="110">
        <v>0</v>
      </c>
      <c r="V93" s="110">
        <v>0</v>
      </c>
      <c r="W93" s="110">
        <v>3700</v>
      </c>
      <c r="X93" s="110">
        <v>0</v>
      </c>
      <c r="Y93" s="110">
        <v>0</v>
      </c>
      <c r="Z93" s="165">
        <f t="shared" ref="Z93" si="118">Z94+Z96</f>
        <v>0</v>
      </c>
    </row>
    <row r="94" spans="1:26" s="136" customFormat="1" ht="75">
      <c r="A94" s="107">
        <v>2</v>
      </c>
      <c r="B94" s="155" t="s">
        <v>164</v>
      </c>
      <c r="C94" s="148" t="s">
        <v>162</v>
      </c>
      <c r="D94" s="107"/>
      <c r="E94" s="107"/>
      <c r="F94" s="140" t="s">
        <v>165</v>
      </c>
      <c r="G94" s="110">
        <v>65000</v>
      </c>
      <c r="H94" s="110">
        <v>0</v>
      </c>
      <c r="I94" s="110">
        <v>0</v>
      </c>
      <c r="J94" s="110">
        <v>32500</v>
      </c>
      <c r="K94" s="110">
        <v>32500</v>
      </c>
      <c r="L94" s="141">
        <f t="shared" si="116"/>
        <v>55463.813999999998</v>
      </c>
      <c r="M94" s="50"/>
      <c r="N94" s="110">
        <v>0</v>
      </c>
      <c r="O94" s="50">
        <v>55463.813999999998</v>
      </c>
      <c r="P94" s="141">
        <f>SUM(Q94:S94)</f>
        <v>55463.813999999998</v>
      </c>
      <c r="Q94" s="141">
        <f t="shared" si="117"/>
        <v>0</v>
      </c>
      <c r="R94" s="141">
        <f t="shared" si="117"/>
        <v>0</v>
      </c>
      <c r="S94" s="141">
        <f t="shared" si="117"/>
        <v>55463.813999999998</v>
      </c>
      <c r="T94" s="165">
        <f t="shared" ref="T94:T95" si="119">SUM(U94:Z94)</f>
        <v>8988</v>
      </c>
      <c r="U94" s="110">
        <v>0</v>
      </c>
      <c r="V94" s="110">
        <v>0</v>
      </c>
      <c r="W94" s="110">
        <v>3000</v>
      </c>
      <c r="X94" s="110">
        <v>0</v>
      </c>
      <c r="Y94" s="110">
        <v>5988</v>
      </c>
      <c r="Z94" s="50">
        <f t="shared" ref="Z94" si="120">Z95</f>
        <v>0</v>
      </c>
    </row>
    <row r="95" spans="1:26" s="136" customFormat="1" ht="75">
      <c r="A95" s="107">
        <v>3</v>
      </c>
      <c r="B95" s="155" t="s">
        <v>287</v>
      </c>
      <c r="C95" s="148" t="s">
        <v>162</v>
      </c>
      <c r="D95" s="107">
        <v>0</v>
      </c>
      <c r="E95" s="107" t="s">
        <v>339</v>
      </c>
      <c r="F95" s="140" t="s">
        <v>458</v>
      </c>
      <c r="G95" s="110">
        <v>112000</v>
      </c>
      <c r="H95" s="110">
        <v>0</v>
      </c>
      <c r="I95" s="110">
        <v>0</v>
      </c>
      <c r="J95" s="110">
        <v>78400</v>
      </c>
      <c r="K95" s="110">
        <v>33600</v>
      </c>
      <c r="L95" s="141">
        <f t="shared" si="116"/>
        <v>40852</v>
      </c>
      <c r="M95" s="141"/>
      <c r="N95" s="110">
        <v>0</v>
      </c>
      <c r="O95" s="141">
        <v>40852</v>
      </c>
      <c r="P95" s="141">
        <f>SUM(Q95:S95)</f>
        <v>40852</v>
      </c>
      <c r="Q95" s="141">
        <f t="shared" si="117"/>
        <v>0</v>
      </c>
      <c r="R95" s="141">
        <f t="shared" si="117"/>
        <v>0</v>
      </c>
      <c r="S95" s="141">
        <f t="shared" si="117"/>
        <v>40852</v>
      </c>
      <c r="T95" s="165">
        <f t="shared" si="119"/>
        <v>15000</v>
      </c>
      <c r="U95" s="110">
        <v>0</v>
      </c>
      <c r="V95" s="110">
        <v>0</v>
      </c>
      <c r="W95" s="110">
        <v>10000</v>
      </c>
      <c r="X95" s="110">
        <v>0</v>
      </c>
      <c r="Y95" s="110">
        <v>5000</v>
      </c>
      <c r="Z95" s="141">
        <v>0</v>
      </c>
    </row>
    <row r="96" spans="1:26" s="104" customFormat="1" ht="45" customHeight="1">
      <c r="A96" s="132" t="s">
        <v>353</v>
      </c>
      <c r="B96" s="108" t="s">
        <v>288</v>
      </c>
      <c r="C96" s="106">
        <v>0</v>
      </c>
      <c r="D96" s="106">
        <v>0</v>
      </c>
      <c r="E96" s="106">
        <v>0</v>
      </c>
      <c r="F96" s="108">
        <v>0</v>
      </c>
      <c r="G96" s="109">
        <f>G97</f>
        <v>148000</v>
      </c>
      <c r="H96" s="109">
        <f t="shared" ref="H96:Z96" si="121">H97</f>
        <v>0</v>
      </c>
      <c r="I96" s="109">
        <f t="shared" si="121"/>
        <v>0</v>
      </c>
      <c r="J96" s="109">
        <f t="shared" si="121"/>
        <v>128000</v>
      </c>
      <c r="K96" s="109">
        <f t="shared" si="121"/>
        <v>20000</v>
      </c>
      <c r="L96" s="109">
        <f t="shared" si="121"/>
        <v>33786</v>
      </c>
      <c r="M96" s="109">
        <f t="shared" si="121"/>
        <v>0</v>
      </c>
      <c r="N96" s="109">
        <f t="shared" si="121"/>
        <v>0</v>
      </c>
      <c r="O96" s="109">
        <f t="shared" si="121"/>
        <v>33786</v>
      </c>
      <c r="P96" s="109">
        <f t="shared" si="121"/>
        <v>33786</v>
      </c>
      <c r="Q96" s="109">
        <f t="shared" si="121"/>
        <v>0</v>
      </c>
      <c r="R96" s="109">
        <f t="shared" si="121"/>
        <v>0</v>
      </c>
      <c r="S96" s="109">
        <f t="shared" si="121"/>
        <v>33786</v>
      </c>
      <c r="T96" s="109">
        <f t="shared" si="121"/>
        <v>30000</v>
      </c>
      <c r="U96" s="109">
        <f t="shared" si="121"/>
        <v>0</v>
      </c>
      <c r="V96" s="109">
        <f t="shared" si="121"/>
        <v>0</v>
      </c>
      <c r="W96" s="109">
        <f t="shared" si="121"/>
        <v>10000</v>
      </c>
      <c r="X96" s="109">
        <f t="shared" si="121"/>
        <v>0</v>
      </c>
      <c r="Y96" s="109">
        <f t="shared" si="121"/>
        <v>20000</v>
      </c>
      <c r="Z96" s="109">
        <f t="shared" si="121"/>
        <v>0</v>
      </c>
    </row>
    <row r="97" spans="1:26" s="136" customFormat="1" ht="37.5">
      <c r="A97" s="107">
        <v>1</v>
      </c>
      <c r="B97" s="155" t="s">
        <v>412</v>
      </c>
      <c r="C97" s="107" t="s">
        <v>166</v>
      </c>
      <c r="D97" s="107">
        <v>0</v>
      </c>
      <c r="E97" s="107">
        <v>0</v>
      </c>
      <c r="F97" s="140" t="s">
        <v>459</v>
      </c>
      <c r="G97" s="110">
        <v>148000</v>
      </c>
      <c r="H97" s="110">
        <v>0</v>
      </c>
      <c r="I97" s="110">
        <v>0</v>
      </c>
      <c r="J97" s="110">
        <v>128000</v>
      </c>
      <c r="K97" s="110">
        <v>20000</v>
      </c>
      <c r="L97" s="141">
        <f t="shared" ref="L97" si="122">SUM(M97:O97)</f>
        <v>33786</v>
      </c>
      <c r="M97" s="141"/>
      <c r="N97" s="110">
        <v>0</v>
      </c>
      <c r="O97" s="141">
        <v>33786</v>
      </c>
      <c r="P97" s="141">
        <f>SUM(Q97:S97)</f>
        <v>33786</v>
      </c>
      <c r="Q97" s="141">
        <f>M97</f>
        <v>0</v>
      </c>
      <c r="R97" s="141">
        <f>N97</f>
        <v>0</v>
      </c>
      <c r="S97" s="141">
        <f>O97</f>
        <v>33786</v>
      </c>
      <c r="T97" s="141">
        <f t="shared" ref="T97" si="123">SUM(U97:Z97)</f>
        <v>30000</v>
      </c>
      <c r="U97" s="110">
        <v>0</v>
      </c>
      <c r="V97" s="110">
        <v>0</v>
      </c>
      <c r="W97" s="110">
        <v>10000</v>
      </c>
      <c r="X97" s="110">
        <v>0</v>
      </c>
      <c r="Y97" s="110">
        <v>20000</v>
      </c>
      <c r="Z97" s="141">
        <v>0</v>
      </c>
    </row>
    <row r="98" spans="1:26" s="104" customFormat="1" ht="36.6" customHeight="1">
      <c r="A98" s="132" t="s">
        <v>358</v>
      </c>
      <c r="B98" s="108" t="s">
        <v>289</v>
      </c>
      <c r="C98" s="106"/>
      <c r="D98" s="106">
        <v>0</v>
      </c>
      <c r="E98" s="106">
        <v>0</v>
      </c>
      <c r="F98" s="108">
        <v>0</v>
      </c>
      <c r="G98" s="109">
        <f>G99+G100</f>
        <v>280400</v>
      </c>
      <c r="H98" s="109">
        <f t="shared" ref="H98:Z98" si="124">H99+H100</f>
        <v>0</v>
      </c>
      <c r="I98" s="109">
        <f t="shared" si="124"/>
        <v>0</v>
      </c>
      <c r="J98" s="109">
        <f t="shared" si="124"/>
        <v>250200</v>
      </c>
      <c r="K98" s="109">
        <f t="shared" si="124"/>
        <v>30200</v>
      </c>
      <c r="L98" s="109">
        <f t="shared" si="124"/>
        <v>67582</v>
      </c>
      <c r="M98" s="109">
        <f t="shared" si="124"/>
        <v>0</v>
      </c>
      <c r="N98" s="109">
        <f t="shared" si="124"/>
        <v>0</v>
      </c>
      <c r="O98" s="109">
        <f t="shared" si="124"/>
        <v>67582</v>
      </c>
      <c r="P98" s="109">
        <f t="shared" si="124"/>
        <v>67582</v>
      </c>
      <c r="Q98" s="109">
        <f t="shared" si="124"/>
        <v>0</v>
      </c>
      <c r="R98" s="109">
        <f t="shared" si="124"/>
        <v>0</v>
      </c>
      <c r="S98" s="109">
        <f t="shared" si="124"/>
        <v>67582</v>
      </c>
      <c r="T98" s="109">
        <f t="shared" si="124"/>
        <v>18200</v>
      </c>
      <c r="U98" s="109">
        <f t="shared" si="124"/>
        <v>0</v>
      </c>
      <c r="V98" s="109">
        <f t="shared" si="124"/>
        <v>0</v>
      </c>
      <c r="W98" s="109">
        <f t="shared" si="124"/>
        <v>8200</v>
      </c>
      <c r="X98" s="109">
        <f t="shared" si="124"/>
        <v>0</v>
      </c>
      <c r="Y98" s="109">
        <f t="shared" si="124"/>
        <v>10000</v>
      </c>
      <c r="Z98" s="109">
        <f t="shared" si="124"/>
        <v>0</v>
      </c>
    </row>
    <row r="99" spans="1:26" s="136" customFormat="1" ht="112.5">
      <c r="A99" s="107">
        <v>1</v>
      </c>
      <c r="B99" s="155" t="s">
        <v>290</v>
      </c>
      <c r="C99" s="107" t="s">
        <v>156</v>
      </c>
      <c r="D99" s="107"/>
      <c r="E99" s="107"/>
      <c r="F99" s="140" t="s">
        <v>460</v>
      </c>
      <c r="G99" s="110">
        <v>220000</v>
      </c>
      <c r="H99" s="110">
        <v>0</v>
      </c>
      <c r="I99" s="110">
        <v>0</v>
      </c>
      <c r="J99" s="110">
        <v>220000</v>
      </c>
      <c r="K99" s="110">
        <v>0</v>
      </c>
      <c r="L99" s="141">
        <f t="shared" ref="L99:L100" si="125">SUM(M99:O99)</f>
        <v>29582</v>
      </c>
      <c r="M99" s="50"/>
      <c r="N99" s="110">
        <v>0</v>
      </c>
      <c r="O99" s="50">
        <v>29582</v>
      </c>
      <c r="P99" s="141">
        <f>SUM(Q99:S99)</f>
        <v>29582</v>
      </c>
      <c r="Q99" s="141">
        <f t="shared" ref="Q99:S100" si="126">M99</f>
        <v>0</v>
      </c>
      <c r="R99" s="141">
        <f t="shared" si="126"/>
        <v>0</v>
      </c>
      <c r="S99" s="141">
        <f t="shared" si="126"/>
        <v>29582</v>
      </c>
      <c r="T99" s="50">
        <f>SUM(U99:Z99)</f>
        <v>10000</v>
      </c>
      <c r="U99" s="110">
        <v>0</v>
      </c>
      <c r="V99" s="110">
        <v>0</v>
      </c>
      <c r="W99" s="110">
        <v>0</v>
      </c>
      <c r="X99" s="110">
        <v>0</v>
      </c>
      <c r="Y99" s="110">
        <v>10000</v>
      </c>
      <c r="Z99" s="50">
        <f t="shared" ref="Z99" si="127">Z100+Z102</f>
        <v>0</v>
      </c>
    </row>
    <row r="100" spans="1:26" s="136" customFormat="1" ht="75">
      <c r="A100" s="107">
        <v>2</v>
      </c>
      <c r="B100" s="155" t="s">
        <v>291</v>
      </c>
      <c r="C100" s="107" t="s">
        <v>156</v>
      </c>
      <c r="D100" s="134"/>
      <c r="E100" s="134"/>
      <c r="F100" s="140" t="s">
        <v>461</v>
      </c>
      <c r="G100" s="110">
        <v>60400</v>
      </c>
      <c r="H100" s="110">
        <v>0</v>
      </c>
      <c r="I100" s="110">
        <v>0</v>
      </c>
      <c r="J100" s="110">
        <v>30200</v>
      </c>
      <c r="K100" s="110">
        <v>30200</v>
      </c>
      <c r="L100" s="141">
        <f t="shared" si="125"/>
        <v>38000</v>
      </c>
      <c r="M100" s="141"/>
      <c r="N100" s="110">
        <v>0</v>
      </c>
      <c r="O100" s="141">
        <v>38000</v>
      </c>
      <c r="P100" s="141">
        <f>SUM(Q100:S100)</f>
        <v>38000</v>
      </c>
      <c r="Q100" s="141">
        <f t="shared" si="126"/>
        <v>0</v>
      </c>
      <c r="R100" s="141">
        <f t="shared" si="126"/>
        <v>0</v>
      </c>
      <c r="S100" s="141">
        <f t="shared" si="126"/>
        <v>38000</v>
      </c>
      <c r="T100" s="50">
        <f>SUM(U100:Z100)</f>
        <v>8200</v>
      </c>
      <c r="U100" s="110">
        <v>0</v>
      </c>
      <c r="V100" s="110">
        <v>0</v>
      </c>
      <c r="W100" s="110">
        <v>8200</v>
      </c>
      <c r="X100" s="110">
        <v>0</v>
      </c>
      <c r="Y100" s="110">
        <v>0</v>
      </c>
      <c r="Z100" s="50">
        <f t="shared" ref="L100:Z101" si="128">Z101</f>
        <v>0</v>
      </c>
    </row>
    <row r="101" spans="1:26" s="104" customFormat="1" ht="37.5">
      <c r="A101" s="132" t="s">
        <v>413</v>
      </c>
      <c r="B101" s="108" t="s">
        <v>258</v>
      </c>
      <c r="C101" s="106"/>
      <c r="D101" s="106">
        <v>0</v>
      </c>
      <c r="E101" s="106" t="s">
        <v>337</v>
      </c>
      <c r="F101" s="108">
        <v>0</v>
      </c>
      <c r="G101" s="109">
        <f>G102</f>
        <v>14500</v>
      </c>
      <c r="H101" s="109">
        <f t="shared" ref="H101:K101" si="129">H102</f>
        <v>0</v>
      </c>
      <c r="I101" s="109">
        <f t="shared" si="129"/>
        <v>0</v>
      </c>
      <c r="J101" s="109">
        <f t="shared" si="129"/>
        <v>8400</v>
      </c>
      <c r="K101" s="109">
        <f t="shared" si="129"/>
        <v>6100</v>
      </c>
      <c r="L101" s="109">
        <f t="shared" si="128"/>
        <v>100</v>
      </c>
      <c r="M101" s="109">
        <f t="shared" si="128"/>
        <v>0</v>
      </c>
      <c r="N101" s="109">
        <f t="shared" si="128"/>
        <v>0</v>
      </c>
      <c r="O101" s="109">
        <f t="shared" si="128"/>
        <v>100</v>
      </c>
      <c r="P101" s="109">
        <f t="shared" si="128"/>
        <v>100</v>
      </c>
      <c r="Q101" s="109">
        <f t="shared" si="128"/>
        <v>0</v>
      </c>
      <c r="R101" s="109">
        <f t="shared" si="128"/>
        <v>0</v>
      </c>
      <c r="S101" s="109">
        <f t="shared" si="128"/>
        <v>100</v>
      </c>
      <c r="T101" s="109">
        <f t="shared" si="128"/>
        <v>3000</v>
      </c>
      <c r="U101" s="109">
        <f t="shared" si="128"/>
        <v>0</v>
      </c>
      <c r="V101" s="109">
        <f t="shared" si="128"/>
        <v>0</v>
      </c>
      <c r="W101" s="109">
        <f t="shared" si="128"/>
        <v>3000</v>
      </c>
      <c r="X101" s="109">
        <f t="shared" si="128"/>
        <v>0</v>
      </c>
      <c r="Y101" s="109">
        <f t="shared" si="128"/>
        <v>0</v>
      </c>
      <c r="Z101" s="109">
        <f t="shared" si="128"/>
        <v>0</v>
      </c>
    </row>
    <row r="102" spans="1:26" s="136" customFormat="1" ht="37.5">
      <c r="A102" s="107"/>
      <c r="B102" s="155" t="s">
        <v>414</v>
      </c>
      <c r="C102" s="107" t="s">
        <v>160</v>
      </c>
      <c r="D102" s="107">
        <v>0</v>
      </c>
      <c r="E102" s="107">
        <v>0</v>
      </c>
      <c r="F102" s="140" t="s">
        <v>462</v>
      </c>
      <c r="G102" s="110">
        <v>14500</v>
      </c>
      <c r="H102" s="110">
        <v>0</v>
      </c>
      <c r="I102" s="110">
        <v>0</v>
      </c>
      <c r="J102" s="110">
        <v>8400</v>
      </c>
      <c r="K102" s="110">
        <v>6100</v>
      </c>
      <c r="L102" s="141">
        <f t="shared" ref="L102" si="130">SUM(M102:O102)</f>
        <v>100</v>
      </c>
      <c r="M102" s="141"/>
      <c r="N102" s="110">
        <v>0</v>
      </c>
      <c r="O102" s="141">
        <v>100</v>
      </c>
      <c r="P102" s="141">
        <f>SUM(Q102:S102)</f>
        <v>100</v>
      </c>
      <c r="Q102" s="141">
        <f>M102</f>
        <v>0</v>
      </c>
      <c r="R102" s="141">
        <f>N102</f>
        <v>0</v>
      </c>
      <c r="S102" s="141">
        <f>O102</f>
        <v>100</v>
      </c>
      <c r="T102" s="141">
        <f>SUM(U102:Z102)</f>
        <v>3000</v>
      </c>
      <c r="U102" s="110">
        <v>0</v>
      </c>
      <c r="V102" s="110">
        <v>0</v>
      </c>
      <c r="W102" s="110">
        <v>3000</v>
      </c>
      <c r="X102" s="110">
        <v>0</v>
      </c>
      <c r="Y102" s="110">
        <v>0</v>
      </c>
      <c r="Z102" s="50">
        <f t="shared" ref="Z102" si="131">Z103</f>
        <v>0</v>
      </c>
    </row>
    <row r="103" spans="1:26" s="104" customFormat="1" ht="37.5">
      <c r="A103" s="132" t="s">
        <v>415</v>
      </c>
      <c r="B103" s="108" t="s">
        <v>292</v>
      </c>
      <c r="C103" s="106"/>
      <c r="D103" s="106">
        <v>0</v>
      </c>
      <c r="E103" s="106" t="s">
        <v>337</v>
      </c>
      <c r="F103" s="108">
        <v>0</v>
      </c>
      <c r="G103" s="109">
        <f>SUM(G104:G106)</f>
        <v>165000</v>
      </c>
      <c r="H103" s="109">
        <f t="shared" ref="H103:S103" si="132">SUM(H104:H106)</f>
        <v>0</v>
      </c>
      <c r="I103" s="109">
        <f t="shared" si="132"/>
        <v>0</v>
      </c>
      <c r="J103" s="109">
        <f t="shared" si="132"/>
        <v>157500</v>
      </c>
      <c r="K103" s="109">
        <f t="shared" si="132"/>
        <v>7500</v>
      </c>
      <c r="L103" s="109">
        <f t="shared" si="132"/>
        <v>8500</v>
      </c>
      <c r="M103" s="109">
        <f t="shared" si="132"/>
        <v>0</v>
      </c>
      <c r="N103" s="109">
        <f t="shared" si="132"/>
        <v>0</v>
      </c>
      <c r="O103" s="109">
        <f t="shared" si="132"/>
        <v>8500</v>
      </c>
      <c r="P103" s="109">
        <f t="shared" si="132"/>
        <v>8500</v>
      </c>
      <c r="Q103" s="109">
        <f t="shared" si="132"/>
        <v>0</v>
      </c>
      <c r="R103" s="109">
        <f t="shared" si="132"/>
        <v>0</v>
      </c>
      <c r="S103" s="109">
        <f t="shared" si="132"/>
        <v>8500</v>
      </c>
      <c r="T103" s="130">
        <f t="shared" ref="T103:T106" si="133">SUM(U103:Z103)</f>
        <v>43000</v>
      </c>
      <c r="U103" s="109">
        <v>0</v>
      </c>
      <c r="V103" s="109">
        <f t="shared" ref="V103" si="134">SUM(V104:V106)</f>
        <v>0</v>
      </c>
      <c r="W103" s="109">
        <f t="shared" ref="W103:Y103" si="135">SUM(W104:W106)</f>
        <v>20000</v>
      </c>
      <c r="X103" s="109">
        <f t="shared" si="135"/>
        <v>0</v>
      </c>
      <c r="Y103" s="109">
        <f t="shared" si="135"/>
        <v>23000</v>
      </c>
      <c r="Z103" s="135"/>
    </row>
    <row r="104" spans="1:26" s="104" customFormat="1" ht="37.5">
      <c r="A104" s="107">
        <v>1</v>
      </c>
      <c r="B104" s="155" t="s">
        <v>293</v>
      </c>
      <c r="C104" s="107" t="s">
        <v>155</v>
      </c>
      <c r="D104" s="106"/>
      <c r="E104" s="106"/>
      <c r="F104" s="140" t="s">
        <v>169</v>
      </c>
      <c r="G104" s="110">
        <v>15000</v>
      </c>
      <c r="H104" s="110">
        <v>0</v>
      </c>
      <c r="I104" s="110">
        <v>0</v>
      </c>
      <c r="J104" s="110">
        <v>7500</v>
      </c>
      <c r="K104" s="110">
        <v>7500</v>
      </c>
      <c r="L104" s="141">
        <f t="shared" ref="L104:L106" si="136">SUM(M104:O104)</f>
        <v>7500</v>
      </c>
      <c r="M104" s="135"/>
      <c r="N104" s="110">
        <v>0</v>
      </c>
      <c r="O104" s="135">
        <v>7500</v>
      </c>
      <c r="P104" s="141">
        <f>SUM(Q104:S104)</f>
        <v>7500</v>
      </c>
      <c r="Q104" s="141">
        <f t="shared" ref="Q104:S106" si="137">M104</f>
        <v>0</v>
      </c>
      <c r="R104" s="141">
        <f t="shared" si="137"/>
        <v>0</v>
      </c>
      <c r="S104" s="141">
        <f t="shared" si="137"/>
        <v>7500</v>
      </c>
      <c r="T104" s="141">
        <f t="shared" si="133"/>
        <v>3000</v>
      </c>
      <c r="U104" s="110">
        <v>0</v>
      </c>
      <c r="V104" s="110">
        <v>0</v>
      </c>
      <c r="W104" s="110">
        <v>0</v>
      </c>
      <c r="X104" s="110">
        <v>0</v>
      </c>
      <c r="Y104" s="110">
        <v>3000</v>
      </c>
      <c r="Z104" s="135">
        <f t="shared" ref="Z104" si="138">Z105+Z107</f>
        <v>0</v>
      </c>
    </row>
    <row r="105" spans="1:26" s="104" customFormat="1" ht="37.5">
      <c r="A105" s="107">
        <v>2</v>
      </c>
      <c r="B105" s="155" t="s">
        <v>416</v>
      </c>
      <c r="C105" s="107" t="s">
        <v>155</v>
      </c>
      <c r="D105" s="106"/>
      <c r="E105" s="106"/>
      <c r="F105" s="140" t="s">
        <v>463</v>
      </c>
      <c r="G105" s="110">
        <v>75000</v>
      </c>
      <c r="H105" s="110">
        <v>0</v>
      </c>
      <c r="I105" s="110">
        <v>0</v>
      </c>
      <c r="J105" s="110">
        <v>75000</v>
      </c>
      <c r="K105" s="110">
        <v>0</v>
      </c>
      <c r="L105" s="141">
        <f t="shared" si="136"/>
        <v>500</v>
      </c>
      <c r="M105" s="135"/>
      <c r="N105" s="110">
        <v>0</v>
      </c>
      <c r="O105" s="135">
        <v>500</v>
      </c>
      <c r="P105" s="141">
        <f>SUM(Q105:S105)</f>
        <v>500</v>
      </c>
      <c r="Q105" s="141">
        <f t="shared" si="137"/>
        <v>0</v>
      </c>
      <c r="R105" s="141">
        <f t="shared" si="137"/>
        <v>0</v>
      </c>
      <c r="S105" s="141">
        <f t="shared" si="137"/>
        <v>500</v>
      </c>
      <c r="T105" s="141">
        <f t="shared" si="133"/>
        <v>20000</v>
      </c>
      <c r="U105" s="110">
        <v>0</v>
      </c>
      <c r="V105" s="110">
        <v>0</v>
      </c>
      <c r="W105" s="110">
        <v>10000</v>
      </c>
      <c r="X105" s="110">
        <v>0</v>
      </c>
      <c r="Y105" s="110">
        <v>10000</v>
      </c>
      <c r="Z105" s="135">
        <f t="shared" ref="Z105" si="139">Z106</f>
        <v>0</v>
      </c>
    </row>
    <row r="106" spans="1:26" s="136" customFormat="1" ht="37.5">
      <c r="A106" s="107">
        <v>3</v>
      </c>
      <c r="B106" s="155" t="s">
        <v>417</v>
      </c>
      <c r="C106" s="107" t="s">
        <v>155</v>
      </c>
      <c r="D106" s="107">
        <v>0</v>
      </c>
      <c r="E106" s="107" t="s">
        <v>341</v>
      </c>
      <c r="F106" s="140" t="s">
        <v>464</v>
      </c>
      <c r="G106" s="110">
        <v>75000</v>
      </c>
      <c r="H106" s="110">
        <v>0</v>
      </c>
      <c r="I106" s="110">
        <v>0</v>
      </c>
      <c r="J106" s="110">
        <v>75000</v>
      </c>
      <c r="K106" s="110">
        <v>0</v>
      </c>
      <c r="L106" s="141">
        <f t="shared" si="136"/>
        <v>500</v>
      </c>
      <c r="M106" s="50"/>
      <c r="N106" s="110">
        <v>0</v>
      </c>
      <c r="O106" s="50">
        <v>500</v>
      </c>
      <c r="P106" s="141">
        <f>SUM(Q106:S106)</f>
        <v>500</v>
      </c>
      <c r="Q106" s="141">
        <f t="shared" si="137"/>
        <v>0</v>
      </c>
      <c r="R106" s="141">
        <f t="shared" si="137"/>
        <v>0</v>
      </c>
      <c r="S106" s="141">
        <f t="shared" si="137"/>
        <v>500</v>
      </c>
      <c r="T106" s="141">
        <f t="shared" si="133"/>
        <v>20000</v>
      </c>
      <c r="U106" s="110">
        <v>0</v>
      </c>
      <c r="V106" s="110">
        <v>0</v>
      </c>
      <c r="W106" s="110">
        <v>10000</v>
      </c>
      <c r="X106" s="110">
        <v>0</v>
      </c>
      <c r="Y106" s="110">
        <v>10000</v>
      </c>
      <c r="Z106" s="50">
        <v>0</v>
      </c>
    </row>
    <row r="107" spans="1:26" s="104" customFormat="1" ht="42.6" customHeight="1">
      <c r="A107" s="132" t="s">
        <v>418</v>
      </c>
      <c r="B107" s="108" t="s">
        <v>256</v>
      </c>
      <c r="C107" s="106"/>
      <c r="D107" s="106"/>
      <c r="E107" s="106"/>
      <c r="F107" s="108">
        <v>0</v>
      </c>
      <c r="G107" s="109">
        <f>SUM(G108:G110)</f>
        <v>142000</v>
      </c>
      <c r="H107" s="109">
        <f t="shared" ref="H107:S107" si="140">SUM(H108:H110)</f>
        <v>0</v>
      </c>
      <c r="I107" s="109">
        <f t="shared" si="140"/>
        <v>0</v>
      </c>
      <c r="J107" s="109">
        <f t="shared" si="140"/>
        <v>82000</v>
      </c>
      <c r="K107" s="109">
        <f t="shared" si="140"/>
        <v>60000</v>
      </c>
      <c r="L107" s="109">
        <f t="shared" si="140"/>
        <v>67167</v>
      </c>
      <c r="M107" s="109">
        <f t="shared" si="140"/>
        <v>0</v>
      </c>
      <c r="N107" s="109">
        <f t="shared" si="140"/>
        <v>0</v>
      </c>
      <c r="O107" s="109">
        <f t="shared" si="140"/>
        <v>67167</v>
      </c>
      <c r="P107" s="109">
        <f t="shared" si="140"/>
        <v>67167</v>
      </c>
      <c r="Q107" s="109">
        <f t="shared" si="140"/>
        <v>0</v>
      </c>
      <c r="R107" s="109">
        <f t="shared" si="140"/>
        <v>0</v>
      </c>
      <c r="S107" s="109">
        <f t="shared" si="140"/>
        <v>67167</v>
      </c>
      <c r="T107" s="135">
        <f>SUM(T108:T110)</f>
        <v>34650</v>
      </c>
      <c r="U107" s="135">
        <f t="shared" ref="U107:Z107" si="141">SUM(U108:U110)</f>
        <v>0</v>
      </c>
      <c r="V107" s="135">
        <f t="shared" si="141"/>
        <v>0</v>
      </c>
      <c r="W107" s="135">
        <f t="shared" si="141"/>
        <v>34650</v>
      </c>
      <c r="X107" s="135">
        <f t="shared" si="141"/>
        <v>0</v>
      </c>
      <c r="Y107" s="135">
        <f t="shared" si="141"/>
        <v>0</v>
      </c>
      <c r="Z107" s="135">
        <f t="shared" si="141"/>
        <v>0</v>
      </c>
    </row>
    <row r="108" spans="1:26" s="136" customFormat="1" ht="37.5">
      <c r="A108" s="107">
        <v>1</v>
      </c>
      <c r="B108" s="155" t="s">
        <v>170</v>
      </c>
      <c r="C108" s="107" t="s">
        <v>168</v>
      </c>
      <c r="D108" s="107">
        <v>0</v>
      </c>
      <c r="E108" s="107" t="s">
        <v>337</v>
      </c>
      <c r="F108" s="140" t="s">
        <v>171</v>
      </c>
      <c r="G108" s="110">
        <v>100000</v>
      </c>
      <c r="H108" s="110">
        <v>0</v>
      </c>
      <c r="I108" s="110">
        <v>0</v>
      </c>
      <c r="J108" s="110">
        <v>50000</v>
      </c>
      <c r="K108" s="110">
        <v>50000</v>
      </c>
      <c r="L108" s="141">
        <f t="shared" ref="L108:L114" si="142">SUM(M108:O108)</f>
        <v>49466</v>
      </c>
      <c r="M108" s="50"/>
      <c r="N108" s="110">
        <v>0</v>
      </c>
      <c r="O108" s="50">
        <v>49466</v>
      </c>
      <c r="P108" s="141">
        <f t="shared" ref="P108:P114" si="143">SUM(Q108:S108)</f>
        <v>49466</v>
      </c>
      <c r="Q108" s="141">
        <f t="shared" ref="Q108:S114" si="144">M108</f>
        <v>0</v>
      </c>
      <c r="R108" s="141">
        <f t="shared" si="144"/>
        <v>0</v>
      </c>
      <c r="S108" s="141">
        <f t="shared" si="144"/>
        <v>49466</v>
      </c>
      <c r="T108" s="141">
        <f t="shared" ref="T108:T110" si="145">SUM(U108:Z108)</f>
        <v>20000</v>
      </c>
      <c r="U108" s="110">
        <v>0</v>
      </c>
      <c r="V108" s="110">
        <v>0</v>
      </c>
      <c r="W108" s="110">
        <v>20000</v>
      </c>
      <c r="X108" s="110">
        <v>0</v>
      </c>
      <c r="Y108" s="110">
        <v>0</v>
      </c>
      <c r="Z108" s="50">
        <v>0</v>
      </c>
    </row>
    <row r="109" spans="1:26" s="104" customFormat="1" ht="37.5">
      <c r="A109" s="107">
        <v>2</v>
      </c>
      <c r="B109" s="155" t="s">
        <v>419</v>
      </c>
      <c r="C109" s="107" t="s">
        <v>168</v>
      </c>
      <c r="D109" s="106"/>
      <c r="E109" s="106"/>
      <c r="F109" s="140" t="s">
        <v>465</v>
      </c>
      <c r="G109" s="110">
        <v>17000</v>
      </c>
      <c r="H109" s="110">
        <v>0</v>
      </c>
      <c r="I109" s="110">
        <v>0</v>
      </c>
      <c r="J109" s="110">
        <v>17000</v>
      </c>
      <c r="K109" s="110">
        <v>0</v>
      </c>
      <c r="L109" s="141">
        <f t="shared" si="142"/>
        <v>11500</v>
      </c>
      <c r="M109" s="135"/>
      <c r="N109" s="110">
        <v>0</v>
      </c>
      <c r="O109" s="135">
        <v>11500</v>
      </c>
      <c r="P109" s="141">
        <f t="shared" si="143"/>
        <v>11500</v>
      </c>
      <c r="Q109" s="141">
        <f t="shared" si="144"/>
        <v>0</v>
      </c>
      <c r="R109" s="141">
        <f t="shared" si="144"/>
        <v>0</v>
      </c>
      <c r="S109" s="141">
        <f t="shared" si="144"/>
        <v>11500</v>
      </c>
      <c r="T109" s="141">
        <f t="shared" si="145"/>
        <v>4650</v>
      </c>
      <c r="U109" s="110">
        <v>0</v>
      </c>
      <c r="V109" s="110">
        <v>0</v>
      </c>
      <c r="W109" s="110">
        <v>4650</v>
      </c>
      <c r="X109" s="110">
        <v>0</v>
      </c>
      <c r="Y109" s="110">
        <v>0</v>
      </c>
      <c r="Z109" s="135">
        <f t="shared" ref="Z109:Z110" si="146">Z110</f>
        <v>0</v>
      </c>
    </row>
    <row r="110" spans="1:26" s="104" customFormat="1" ht="37.5">
      <c r="A110" s="107">
        <v>3</v>
      </c>
      <c r="B110" s="155" t="s">
        <v>420</v>
      </c>
      <c r="C110" s="107" t="s">
        <v>168</v>
      </c>
      <c r="D110" s="106"/>
      <c r="E110" s="106"/>
      <c r="F110" s="140" t="s">
        <v>466</v>
      </c>
      <c r="G110" s="110">
        <v>25000</v>
      </c>
      <c r="H110" s="110">
        <v>0</v>
      </c>
      <c r="I110" s="110">
        <v>0</v>
      </c>
      <c r="J110" s="110">
        <v>15000</v>
      </c>
      <c r="K110" s="110">
        <v>10000</v>
      </c>
      <c r="L110" s="141">
        <f t="shared" si="142"/>
        <v>6201</v>
      </c>
      <c r="M110" s="135"/>
      <c r="N110" s="110">
        <v>0</v>
      </c>
      <c r="O110" s="135">
        <v>6201</v>
      </c>
      <c r="P110" s="141">
        <f t="shared" si="143"/>
        <v>6201</v>
      </c>
      <c r="Q110" s="141">
        <f t="shared" si="144"/>
        <v>0</v>
      </c>
      <c r="R110" s="141">
        <f t="shared" si="144"/>
        <v>0</v>
      </c>
      <c r="S110" s="141">
        <f t="shared" si="144"/>
        <v>6201</v>
      </c>
      <c r="T110" s="141">
        <f t="shared" si="145"/>
        <v>10000</v>
      </c>
      <c r="U110" s="110">
        <v>0</v>
      </c>
      <c r="V110" s="110">
        <v>0</v>
      </c>
      <c r="W110" s="110">
        <v>10000</v>
      </c>
      <c r="X110" s="110">
        <v>0</v>
      </c>
      <c r="Y110" s="110">
        <v>0</v>
      </c>
      <c r="Z110" s="135">
        <f t="shared" si="146"/>
        <v>0</v>
      </c>
    </row>
    <row r="111" spans="1:26" s="104" customFormat="1" ht="54.6" customHeight="1">
      <c r="A111" s="132" t="s">
        <v>421</v>
      </c>
      <c r="B111" s="108" t="s">
        <v>422</v>
      </c>
      <c r="C111" s="106" t="s">
        <v>157</v>
      </c>
      <c r="D111" s="106">
        <v>0</v>
      </c>
      <c r="E111" s="106" t="s">
        <v>337</v>
      </c>
      <c r="F111" s="108" t="s">
        <v>336</v>
      </c>
      <c r="G111" s="109"/>
      <c r="H111" s="109"/>
      <c r="I111" s="109"/>
      <c r="J111" s="109"/>
      <c r="K111" s="109"/>
      <c r="L111" s="130">
        <f t="shared" si="142"/>
        <v>0</v>
      </c>
      <c r="M111" s="135"/>
      <c r="N111" s="109"/>
      <c r="O111" s="135">
        <v>0</v>
      </c>
      <c r="P111" s="130">
        <f t="shared" si="143"/>
        <v>0</v>
      </c>
      <c r="Q111" s="130">
        <f t="shared" si="144"/>
        <v>0</v>
      </c>
      <c r="R111" s="130">
        <f t="shared" si="144"/>
        <v>0</v>
      </c>
      <c r="S111" s="130">
        <f t="shared" si="144"/>
        <v>0</v>
      </c>
      <c r="T111" s="130">
        <f t="shared" ref="T111" si="147">SUM(U111:Z111)</f>
        <v>5000</v>
      </c>
      <c r="U111" s="109">
        <v>0</v>
      </c>
      <c r="V111" s="109">
        <v>0</v>
      </c>
      <c r="W111" s="109">
        <v>0</v>
      </c>
      <c r="X111" s="109">
        <v>0</v>
      </c>
      <c r="Y111" s="109">
        <v>5000</v>
      </c>
      <c r="Z111" s="135">
        <v>0</v>
      </c>
    </row>
    <row r="112" spans="1:26" s="104" customFormat="1" ht="49.9" customHeight="1">
      <c r="A112" s="132" t="s">
        <v>423</v>
      </c>
      <c r="B112" s="108" t="s">
        <v>424</v>
      </c>
      <c r="C112" s="106" t="s">
        <v>157</v>
      </c>
      <c r="D112" s="106"/>
      <c r="E112" s="106"/>
      <c r="F112" s="108">
        <v>0</v>
      </c>
      <c r="G112" s="109"/>
      <c r="H112" s="109"/>
      <c r="I112" s="109"/>
      <c r="J112" s="109"/>
      <c r="K112" s="109"/>
      <c r="L112" s="130">
        <f t="shared" si="142"/>
        <v>0</v>
      </c>
      <c r="M112" s="135"/>
      <c r="N112" s="109"/>
      <c r="O112" s="135">
        <v>0</v>
      </c>
      <c r="P112" s="141">
        <f t="shared" si="143"/>
        <v>0</v>
      </c>
      <c r="Q112" s="141">
        <f t="shared" si="144"/>
        <v>0</v>
      </c>
      <c r="R112" s="141">
        <f t="shared" si="144"/>
        <v>0</v>
      </c>
      <c r="S112" s="141">
        <f t="shared" si="144"/>
        <v>0</v>
      </c>
      <c r="T112" s="135">
        <f>SUM(U112:Z112)</f>
        <v>14500</v>
      </c>
      <c r="U112" s="109">
        <v>0</v>
      </c>
      <c r="V112" s="109">
        <v>0</v>
      </c>
      <c r="W112" s="109">
        <v>10000</v>
      </c>
      <c r="X112" s="109">
        <v>0</v>
      </c>
      <c r="Y112" s="109">
        <v>4500</v>
      </c>
      <c r="Z112" s="135">
        <f t="shared" ref="Z112" si="148">Z113+Z115</f>
        <v>0</v>
      </c>
    </row>
    <row r="113" spans="1:26" s="104" customFormat="1" ht="49.9" customHeight="1">
      <c r="A113" s="132" t="s">
        <v>425</v>
      </c>
      <c r="B113" s="108" t="s">
        <v>426</v>
      </c>
      <c r="C113" s="106" t="s">
        <v>157</v>
      </c>
      <c r="D113" s="106"/>
      <c r="E113" s="106"/>
      <c r="F113" s="108" t="s">
        <v>336</v>
      </c>
      <c r="G113" s="109">
        <v>1382700</v>
      </c>
      <c r="H113" s="109"/>
      <c r="I113" s="109">
        <v>1355700</v>
      </c>
      <c r="J113" s="109">
        <v>27000</v>
      </c>
      <c r="K113" s="109"/>
      <c r="L113" s="130">
        <f t="shared" si="142"/>
        <v>0</v>
      </c>
      <c r="M113" s="135"/>
      <c r="N113" s="109"/>
      <c r="O113" s="135">
        <v>0</v>
      </c>
      <c r="P113" s="141">
        <f t="shared" si="143"/>
        <v>0</v>
      </c>
      <c r="Q113" s="141">
        <f t="shared" si="144"/>
        <v>0</v>
      </c>
      <c r="R113" s="141">
        <f t="shared" si="144"/>
        <v>0</v>
      </c>
      <c r="S113" s="141">
        <f t="shared" si="144"/>
        <v>0</v>
      </c>
      <c r="T113" s="135">
        <f>SUM(U113:Z113)</f>
        <v>125000</v>
      </c>
      <c r="U113" s="109">
        <v>0</v>
      </c>
      <c r="V113" s="109">
        <v>0</v>
      </c>
      <c r="W113" s="109">
        <v>50000</v>
      </c>
      <c r="X113" s="109">
        <v>20000</v>
      </c>
      <c r="Y113" s="109">
        <v>55000</v>
      </c>
      <c r="Z113" s="135">
        <f t="shared" ref="Z113" si="149">Z114</f>
        <v>0</v>
      </c>
    </row>
    <row r="114" spans="1:26" s="104" customFormat="1" ht="49.9" customHeight="1">
      <c r="A114" s="132" t="s">
        <v>427</v>
      </c>
      <c r="B114" s="108" t="s">
        <v>428</v>
      </c>
      <c r="C114" s="106" t="s">
        <v>157</v>
      </c>
      <c r="D114" s="106">
        <v>0</v>
      </c>
      <c r="E114" s="106">
        <v>0</v>
      </c>
      <c r="F114" s="108"/>
      <c r="G114" s="109"/>
      <c r="H114" s="109"/>
      <c r="I114" s="109"/>
      <c r="J114" s="109"/>
      <c r="K114" s="109"/>
      <c r="L114" s="130">
        <f t="shared" si="142"/>
        <v>0</v>
      </c>
      <c r="M114" s="135"/>
      <c r="N114" s="109"/>
      <c r="O114" s="135">
        <v>0</v>
      </c>
      <c r="P114" s="141">
        <f t="shared" si="143"/>
        <v>0</v>
      </c>
      <c r="Q114" s="141">
        <f t="shared" si="144"/>
        <v>0</v>
      </c>
      <c r="R114" s="141">
        <f t="shared" si="144"/>
        <v>0</v>
      </c>
      <c r="S114" s="141">
        <f t="shared" si="144"/>
        <v>0</v>
      </c>
      <c r="T114" s="135">
        <f>SUM(U114:Z114)</f>
        <v>70000</v>
      </c>
      <c r="U114" s="109">
        <v>0</v>
      </c>
      <c r="V114" s="109"/>
      <c r="W114" s="109">
        <v>25000</v>
      </c>
      <c r="X114" s="109">
        <v>20000</v>
      </c>
      <c r="Y114" s="109">
        <v>25000</v>
      </c>
      <c r="Z114" s="109">
        <v>0</v>
      </c>
    </row>
    <row r="115" spans="1:26" s="104" customFormat="1" ht="37.15" customHeight="1">
      <c r="A115" s="132" t="s">
        <v>429</v>
      </c>
      <c r="B115" s="166" t="s">
        <v>132</v>
      </c>
      <c r="C115" s="106"/>
      <c r="D115" s="106">
        <v>0</v>
      </c>
      <c r="E115" s="106">
        <v>0</v>
      </c>
      <c r="F115" s="106"/>
      <c r="G115" s="109">
        <f>G116+G118+G121+G123</f>
        <v>75250</v>
      </c>
      <c r="H115" s="109">
        <f t="shared" ref="H115:S115" si="150">H116+H118+H121+H123</f>
        <v>0</v>
      </c>
      <c r="I115" s="109">
        <f t="shared" si="150"/>
        <v>0</v>
      </c>
      <c r="J115" s="109">
        <f t="shared" si="150"/>
        <v>75250</v>
      </c>
      <c r="K115" s="109">
        <f t="shared" si="150"/>
        <v>0</v>
      </c>
      <c r="L115" s="109">
        <f t="shared" si="150"/>
        <v>62080</v>
      </c>
      <c r="M115" s="109">
        <f t="shared" si="150"/>
        <v>0</v>
      </c>
      <c r="N115" s="109">
        <f t="shared" si="150"/>
        <v>0</v>
      </c>
      <c r="O115" s="109">
        <f t="shared" si="150"/>
        <v>62080</v>
      </c>
      <c r="P115" s="109">
        <f t="shared" si="150"/>
        <v>62080</v>
      </c>
      <c r="Q115" s="109">
        <f t="shared" si="150"/>
        <v>0</v>
      </c>
      <c r="R115" s="109">
        <f t="shared" si="150"/>
        <v>0</v>
      </c>
      <c r="S115" s="109">
        <f t="shared" si="150"/>
        <v>62080</v>
      </c>
      <c r="T115" s="135">
        <f>T116+T118+T121+T123</f>
        <v>30384</v>
      </c>
      <c r="U115" s="135">
        <f t="shared" ref="U115:Z115" si="151">U116+U118+U121+U123</f>
        <v>0</v>
      </c>
      <c r="V115" s="135">
        <f t="shared" si="151"/>
        <v>0</v>
      </c>
      <c r="W115" s="135">
        <f t="shared" si="151"/>
        <v>20384</v>
      </c>
      <c r="X115" s="135">
        <f t="shared" si="151"/>
        <v>0</v>
      </c>
      <c r="Y115" s="135">
        <f t="shared" si="151"/>
        <v>10000</v>
      </c>
      <c r="Z115" s="135">
        <f t="shared" si="151"/>
        <v>0</v>
      </c>
    </row>
    <row r="116" spans="1:26" s="104" customFormat="1" ht="37.5">
      <c r="A116" s="132" t="s">
        <v>97</v>
      </c>
      <c r="B116" s="143" t="s">
        <v>276</v>
      </c>
      <c r="C116" s="106"/>
      <c r="D116" s="106">
        <v>0</v>
      </c>
      <c r="E116" s="106" t="s">
        <v>345</v>
      </c>
      <c r="F116" s="106"/>
      <c r="G116" s="109">
        <f>G117</f>
        <v>3000</v>
      </c>
      <c r="H116" s="109">
        <f t="shared" ref="H116:S116" si="152">H117</f>
        <v>0</v>
      </c>
      <c r="I116" s="109">
        <f t="shared" si="152"/>
        <v>0</v>
      </c>
      <c r="J116" s="109">
        <f t="shared" si="152"/>
        <v>3000</v>
      </c>
      <c r="K116" s="109">
        <f t="shared" si="152"/>
        <v>0</v>
      </c>
      <c r="L116" s="109">
        <f t="shared" si="152"/>
        <v>1200</v>
      </c>
      <c r="M116" s="109">
        <f t="shared" si="152"/>
        <v>0</v>
      </c>
      <c r="N116" s="109">
        <f t="shared" si="152"/>
        <v>0</v>
      </c>
      <c r="O116" s="109">
        <f t="shared" si="152"/>
        <v>1200</v>
      </c>
      <c r="P116" s="109">
        <f t="shared" si="152"/>
        <v>1200</v>
      </c>
      <c r="Q116" s="109">
        <f t="shared" si="152"/>
        <v>0</v>
      </c>
      <c r="R116" s="109">
        <f t="shared" si="152"/>
        <v>0</v>
      </c>
      <c r="S116" s="109">
        <f t="shared" si="152"/>
        <v>1200</v>
      </c>
      <c r="T116" s="130">
        <f t="shared" ref="T116:T117" si="153">SUM(U116:Z116)</f>
        <v>600</v>
      </c>
      <c r="U116" s="109">
        <v>0</v>
      </c>
      <c r="V116" s="109">
        <f t="shared" ref="V116" si="154">V117</f>
        <v>0</v>
      </c>
      <c r="W116" s="109">
        <f t="shared" ref="W116:Y116" si="155">W117</f>
        <v>600</v>
      </c>
      <c r="X116" s="109">
        <f t="shared" si="155"/>
        <v>0</v>
      </c>
      <c r="Y116" s="109">
        <f t="shared" si="155"/>
        <v>0</v>
      </c>
      <c r="Z116" s="130">
        <v>0</v>
      </c>
    </row>
    <row r="117" spans="1:26" s="136" customFormat="1" ht="37.5">
      <c r="A117" s="140">
        <v>1</v>
      </c>
      <c r="B117" s="142" t="s">
        <v>430</v>
      </c>
      <c r="C117" s="107" t="s">
        <v>157</v>
      </c>
      <c r="D117" s="107">
        <v>0</v>
      </c>
      <c r="E117" s="107">
        <v>0</v>
      </c>
      <c r="F117" s="107" t="s">
        <v>467</v>
      </c>
      <c r="G117" s="110">
        <v>3000</v>
      </c>
      <c r="H117" s="110">
        <v>0</v>
      </c>
      <c r="I117" s="110">
        <v>0</v>
      </c>
      <c r="J117" s="110">
        <v>3000</v>
      </c>
      <c r="K117" s="110">
        <v>0</v>
      </c>
      <c r="L117" s="141">
        <f t="shared" ref="L117:L122" si="156">SUM(M117:O117)</f>
        <v>1200</v>
      </c>
      <c r="M117" s="50"/>
      <c r="N117" s="110">
        <v>0</v>
      </c>
      <c r="O117" s="50">
        <v>1200</v>
      </c>
      <c r="P117" s="141">
        <f>SUM(Q117:S117)</f>
        <v>1200</v>
      </c>
      <c r="Q117" s="141">
        <f>M117</f>
        <v>0</v>
      </c>
      <c r="R117" s="141">
        <f>N117</f>
        <v>0</v>
      </c>
      <c r="S117" s="141">
        <f>O117</f>
        <v>1200</v>
      </c>
      <c r="T117" s="141">
        <f t="shared" si="153"/>
        <v>600</v>
      </c>
      <c r="U117" s="110">
        <v>0</v>
      </c>
      <c r="V117" s="110"/>
      <c r="W117" s="110">
        <v>600</v>
      </c>
      <c r="X117" s="110"/>
      <c r="Y117" s="110"/>
      <c r="Z117" s="50">
        <v>0</v>
      </c>
    </row>
    <row r="118" spans="1:26" s="104" customFormat="1" ht="45.6" customHeight="1">
      <c r="A118" s="106" t="s">
        <v>49</v>
      </c>
      <c r="B118" s="143" t="s">
        <v>294</v>
      </c>
      <c r="C118" s="106"/>
      <c r="D118" s="106"/>
      <c r="E118" s="106"/>
      <c r="F118" s="106"/>
      <c r="G118" s="135">
        <f t="shared" ref="G118:S118" si="157">G119+G120</f>
        <v>27800</v>
      </c>
      <c r="H118" s="135">
        <f t="shared" si="157"/>
        <v>0</v>
      </c>
      <c r="I118" s="135">
        <f t="shared" si="157"/>
        <v>0</v>
      </c>
      <c r="J118" s="135">
        <f t="shared" si="157"/>
        <v>27800</v>
      </c>
      <c r="K118" s="135">
        <f t="shared" si="157"/>
        <v>0</v>
      </c>
      <c r="L118" s="135">
        <f t="shared" si="157"/>
        <v>25880</v>
      </c>
      <c r="M118" s="135">
        <f t="shared" si="157"/>
        <v>0</v>
      </c>
      <c r="N118" s="135">
        <f t="shared" si="157"/>
        <v>0</v>
      </c>
      <c r="O118" s="135">
        <f t="shared" si="157"/>
        <v>25880</v>
      </c>
      <c r="P118" s="135">
        <f t="shared" si="157"/>
        <v>25880</v>
      </c>
      <c r="Q118" s="135">
        <f t="shared" si="157"/>
        <v>0</v>
      </c>
      <c r="R118" s="135">
        <f t="shared" si="157"/>
        <v>0</v>
      </c>
      <c r="S118" s="135">
        <f t="shared" si="157"/>
        <v>25880</v>
      </c>
      <c r="T118" s="135">
        <f>T119+T120</f>
        <v>1920</v>
      </c>
      <c r="U118" s="135">
        <f t="shared" ref="U118:Z118" si="158">U119+U120</f>
        <v>0</v>
      </c>
      <c r="V118" s="135">
        <f t="shared" si="158"/>
        <v>0</v>
      </c>
      <c r="W118" s="135">
        <f t="shared" si="158"/>
        <v>1920</v>
      </c>
      <c r="X118" s="135">
        <f t="shared" si="158"/>
        <v>0</v>
      </c>
      <c r="Y118" s="135">
        <f t="shared" si="158"/>
        <v>0</v>
      </c>
      <c r="Z118" s="135">
        <f t="shared" si="158"/>
        <v>0</v>
      </c>
    </row>
    <row r="119" spans="1:26" s="136" customFormat="1" ht="75">
      <c r="A119" s="140">
        <v>1</v>
      </c>
      <c r="B119" s="142" t="s">
        <v>295</v>
      </c>
      <c r="C119" s="107" t="s">
        <v>155</v>
      </c>
      <c r="D119" s="107"/>
      <c r="E119" s="107"/>
      <c r="F119" s="107" t="s">
        <v>468</v>
      </c>
      <c r="G119" s="110">
        <v>20800</v>
      </c>
      <c r="H119" s="110">
        <v>0</v>
      </c>
      <c r="I119" s="110">
        <v>0</v>
      </c>
      <c r="J119" s="110">
        <v>20800</v>
      </c>
      <c r="K119" s="110">
        <v>0</v>
      </c>
      <c r="L119" s="141">
        <f t="shared" si="156"/>
        <v>19090</v>
      </c>
      <c r="M119" s="50"/>
      <c r="N119" s="110">
        <v>0</v>
      </c>
      <c r="O119" s="50">
        <v>19090</v>
      </c>
      <c r="P119" s="141">
        <f>SUM(Q119:S119)</f>
        <v>19090</v>
      </c>
      <c r="Q119" s="141">
        <f t="shared" ref="Q119:S120" si="159">M119</f>
        <v>0</v>
      </c>
      <c r="R119" s="141">
        <f t="shared" si="159"/>
        <v>0</v>
      </c>
      <c r="S119" s="141">
        <f t="shared" si="159"/>
        <v>19090</v>
      </c>
      <c r="T119" s="50">
        <f>SUM(U119:Z119)</f>
        <v>1710</v>
      </c>
      <c r="U119" s="110">
        <v>0</v>
      </c>
      <c r="V119" s="110">
        <v>0</v>
      </c>
      <c r="W119" s="110">
        <v>1710</v>
      </c>
      <c r="X119" s="110">
        <v>0</v>
      </c>
      <c r="Y119" s="110">
        <v>0</v>
      </c>
      <c r="Z119" s="50">
        <f>SUM(Z120:Z126)</f>
        <v>0</v>
      </c>
    </row>
    <row r="120" spans="1:26" s="136" customFormat="1" ht="37.5">
      <c r="A120" s="140">
        <v>2</v>
      </c>
      <c r="B120" s="142" t="s">
        <v>431</v>
      </c>
      <c r="C120" s="107" t="s">
        <v>157</v>
      </c>
      <c r="D120" s="107">
        <v>0</v>
      </c>
      <c r="E120" s="107" t="s">
        <v>347</v>
      </c>
      <c r="F120" s="107" t="s">
        <v>469</v>
      </c>
      <c r="G120" s="110">
        <v>7000</v>
      </c>
      <c r="H120" s="110">
        <v>0</v>
      </c>
      <c r="I120" s="110">
        <v>0</v>
      </c>
      <c r="J120" s="110">
        <v>7000</v>
      </c>
      <c r="K120" s="110">
        <v>0</v>
      </c>
      <c r="L120" s="141">
        <f t="shared" si="156"/>
        <v>6790</v>
      </c>
      <c r="M120" s="50"/>
      <c r="N120" s="110">
        <v>0</v>
      </c>
      <c r="O120" s="50">
        <v>6790</v>
      </c>
      <c r="P120" s="141">
        <f>SUM(Q120:S120)</f>
        <v>6790</v>
      </c>
      <c r="Q120" s="141">
        <f t="shared" si="159"/>
        <v>0</v>
      </c>
      <c r="R120" s="141">
        <f t="shared" si="159"/>
        <v>0</v>
      </c>
      <c r="S120" s="141">
        <f t="shared" si="159"/>
        <v>6790</v>
      </c>
      <c r="T120" s="50">
        <f>SUM(U120:Z120)</f>
        <v>210</v>
      </c>
      <c r="U120" s="110">
        <v>0</v>
      </c>
      <c r="V120" s="110">
        <v>0</v>
      </c>
      <c r="W120" s="110">
        <v>210</v>
      </c>
      <c r="X120" s="110">
        <v>0</v>
      </c>
      <c r="Y120" s="110">
        <v>0</v>
      </c>
      <c r="Z120" s="110">
        <v>0</v>
      </c>
    </row>
    <row r="121" spans="1:26" s="104" customFormat="1" ht="37.5">
      <c r="A121" s="106" t="s">
        <v>22</v>
      </c>
      <c r="B121" s="143" t="s">
        <v>296</v>
      </c>
      <c r="C121" s="106"/>
      <c r="D121" s="106">
        <v>0</v>
      </c>
      <c r="E121" s="106" t="s">
        <v>348</v>
      </c>
      <c r="F121" s="106"/>
      <c r="G121" s="109">
        <f>G122</f>
        <v>44450</v>
      </c>
      <c r="H121" s="109">
        <f t="shared" ref="H121:S121" si="160">H122</f>
        <v>0</v>
      </c>
      <c r="I121" s="109">
        <f t="shared" si="160"/>
        <v>0</v>
      </c>
      <c r="J121" s="109">
        <f t="shared" si="160"/>
        <v>44450</v>
      </c>
      <c r="K121" s="109">
        <f t="shared" si="160"/>
        <v>0</v>
      </c>
      <c r="L121" s="109">
        <f t="shared" si="160"/>
        <v>35000</v>
      </c>
      <c r="M121" s="109">
        <f t="shared" si="160"/>
        <v>0</v>
      </c>
      <c r="N121" s="109">
        <f t="shared" si="160"/>
        <v>0</v>
      </c>
      <c r="O121" s="109">
        <f t="shared" si="160"/>
        <v>35000</v>
      </c>
      <c r="P121" s="109">
        <f t="shared" si="160"/>
        <v>35000</v>
      </c>
      <c r="Q121" s="109">
        <f t="shared" si="160"/>
        <v>0</v>
      </c>
      <c r="R121" s="109">
        <f t="shared" si="160"/>
        <v>0</v>
      </c>
      <c r="S121" s="109">
        <f t="shared" si="160"/>
        <v>35000</v>
      </c>
      <c r="T121" s="130">
        <f t="shared" ref="T121:T126" si="161">SUM(U121:Z121)</f>
        <v>7864</v>
      </c>
      <c r="U121" s="109">
        <v>0</v>
      </c>
      <c r="V121" s="109">
        <f t="shared" ref="V121" si="162">V122</f>
        <v>0</v>
      </c>
      <c r="W121" s="109">
        <f t="shared" ref="W121:Y121" si="163">W122</f>
        <v>7864</v>
      </c>
      <c r="X121" s="109">
        <f t="shared" si="163"/>
        <v>0</v>
      </c>
      <c r="Y121" s="109">
        <f t="shared" si="163"/>
        <v>0</v>
      </c>
      <c r="Z121" s="109">
        <v>0</v>
      </c>
    </row>
    <row r="122" spans="1:26" s="136" customFormat="1" ht="75">
      <c r="A122" s="107">
        <v>1</v>
      </c>
      <c r="B122" s="167" t="s">
        <v>179</v>
      </c>
      <c r="C122" s="107" t="s">
        <v>155</v>
      </c>
      <c r="D122" s="107">
        <v>0</v>
      </c>
      <c r="E122" s="107">
        <v>0</v>
      </c>
      <c r="F122" s="107" t="s">
        <v>470</v>
      </c>
      <c r="G122" s="110">
        <v>44450</v>
      </c>
      <c r="H122" s="110">
        <v>0</v>
      </c>
      <c r="I122" s="110">
        <v>0</v>
      </c>
      <c r="J122" s="110">
        <v>44450</v>
      </c>
      <c r="K122" s="110">
        <v>0</v>
      </c>
      <c r="L122" s="141">
        <f t="shared" si="156"/>
        <v>35000</v>
      </c>
      <c r="M122" s="50"/>
      <c r="N122" s="110">
        <v>0</v>
      </c>
      <c r="O122" s="50">
        <v>35000</v>
      </c>
      <c r="P122" s="141">
        <f>SUM(Q122:S122)</f>
        <v>35000</v>
      </c>
      <c r="Q122" s="141">
        <f t="shared" ref="Q122:S123" si="164">M122</f>
        <v>0</v>
      </c>
      <c r="R122" s="141">
        <f t="shared" si="164"/>
        <v>0</v>
      </c>
      <c r="S122" s="141">
        <f t="shared" si="164"/>
        <v>35000</v>
      </c>
      <c r="T122" s="141">
        <f t="shared" si="161"/>
        <v>7864</v>
      </c>
      <c r="U122" s="110">
        <v>0</v>
      </c>
      <c r="V122" s="110">
        <v>0</v>
      </c>
      <c r="W122" s="110">
        <v>7864</v>
      </c>
      <c r="X122" s="110">
        <v>0</v>
      </c>
      <c r="Y122" s="110">
        <v>0</v>
      </c>
      <c r="Z122" s="110">
        <v>0</v>
      </c>
    </row>
    <row r="123" spans="1:26" s="104" customFormat="1" ht="44.45" customHeight="1">
      <c r="A123" s="106" t="s">
        <v>23</v>
      </c>
      <c r="B123" s="143" t="s">
        <v>432</v>
      </c>
      <c r="C123" s="106"/>
      <c r="D123" s="106">
        <v>0</v>
      </c>
      <c r="E123" s="106">
        <v>0</v>
      </c>
      <c r="F123" s="106"/>
      <c r="G123" s="109"/>
      <c r="H123" s="109"/>
      <c r="I123" s="109"/>
      <c r="J123" s="109"/>
      <c r="K123" s="109"/>
      <c r="L123" s="135">
        <f>SUM(M123:O123)</f>
        <v>0</v>
      </c>
      <c r="M123" s="135"/>
      <c r="N123" s="109"/>
      <c r="O123" s="135">
        <v>0</v>
      </c>
      <c r="P123" s="141">
        <f>SUM(Q123:S123)</f>
        <v>0</v>
      </c>
      <c r="Q123" s="141">
        <f t="shared" si="164"/>
        <v>0</v>
      </c>
      <c r="R123" s="141">
        <f t="shared" si="164"/>
        <v>0</v>
      </c>
      <c r="S123" s="141">
        <f t="shared" si="164"/>
        <v>0</v>
      </c>
      <c r="T123" s="130">
        <f t="shared" si="161"/>
        <v>20000</v>
      </c>
      <c r="U123" s="109">
        <v>0</v>
      </c>
      <c r="V123" s="109">
        <v>0</v>
      </c>
      <c r="W123" s="109">
        <v>10000</v>
      </c>
      <c r="X123" s="109">
        <v>0</v>
      </c>
      <c r="Y123" s="109">
        <v>10000</v>
      </c>
      <c r="Z123" s="109">
        <v>0</v>
      </c>
    </row>
    <row r="124" spans="1:26" s="104" customFormat="1" ht="43.15" customHeight="1">
      <c r="A124" s="132" t="s">
        <v>97</v>
      </c>
      <c r="B124" s="168" t="s">
        <v>298</v>
      </c>
      <c r="C124" s="106"/>
      <c r="D124" s="106">
        <v>0</v>
      </c>
      <c r="E124" s="106" t="s">
        <v>333</v>
      </c>
      <c r="F124" s="108"/>
      <c r="G124" s="109">
        <f>G125</f>
        <v>90000</v>
      </c>
      <c r="H124" s="109">
        <f t="shared" ref="H124:O125" si="165">H125</f>
        <v>0</v>
      </c>
      <c r="I124" s="109">
        <f>I125</f>
        <v>90000</v>
      </c>
      <c r="J124" s="109" t="str">
        <f t="shared" si="165"/>
        <v/>
      </c>
      <c r="K124" s="109">
        <f t="shared" si="165"/>
        <v>0</v>
      </c>
      <c r="L124" s="135">
        <f>L125</f>
        <v>0</v>
      </c>
      <c r="M124" s="135">
        <f t="shared" ref="M124:S124" si="166">M125</f>
        <v>0</v>
      </c>
      <c r="N124" s="135">
        <f t="shared" si="166"/>
        <v>0</v>
      </c>
      <c r="O124" s="135">
        <f t="shared" si="166"/>
        <v>0</v>
      </c>
      <c r="P124" s="135">
        <f t="shared" si="166"/>
        <v>0</v>
      </c>
      <c r="Q124" s="135">
        <f t="shared" si="166"/>
        <v>0</v>
      </c>
      <c r="R124" s="135">
        <f t="shared" si="166"/>
        <v>0</v>
      </c>
      <c r="S124" s="135">
        <f t="shared" si="166"/>
        <v>0</v>
      </c>
      <c r="T124" s="130">
        <f t="shared" si="161"/>
        <v>90000</v>
      </c>
      <c r="U124" s="109">
        <v>0</v>
      </c>
      <c r="V124" s="109">
        <f t="shared" ref="V124:V125" si="167">V125</f>
        <v>90000</v>
      </c>
      <c r="W124" s="109">
        <f t="shared" ref="W124:Y125" si="168">W125</f>
        <v>0</v>
      </c>
      <c r="X124" s="109">
        <f t="shared" si="168"/>
        <v>0</v>
      </c>
      <c r="Y124" s="109">
        <f t="shared" si="168"/>
        <v>0</v>
      </c>
      <c r="Z124" s="127">
        <v>0</v>
      </c>
    </row>
    <row r="125" spans="1:26" s="104" customFormat="1" ht="46.15" customHeight="1">
      <c r="A125" s="132" t="s">
        <v>97</v>
      </c>
      <c r="B125" s="169" t="s">
        <v>299</v>
      </c>
      <c r="C125" s="106"/>
      <c r="D125" s="106">
        <v>0</v>
      </c>
      <c r="E125" s="106">
        <v>2013</v>
      </c>
      <c r="F125" s="108"/>
      <c r="G125" s="109">
        <f>G126</f>
        <v>90000</v>
      </c>
      <c r="H125" s="109">
        <f t="shared" si="165"/>
        <v>0</v>
      </c>
      <c r="I125" s="109">
        <f t="shared" si="165"/>
        <v>90000</v>
      </c>
      <c r="J125" s="109" t="str">
        <f t="shared" si="165"/>
        <v/>
      </c>
      <c r="K125" s="109">
        <f t="shared" si="165"/>
        <v>0</v>
      </c>
      <c r="L125" s="109">
        <f t="shared" si="165"/>
        <v>0</v>
      </c>
      <c r="M125" s="109">
        <f t="shared" si="165"/>
        <v>0</v>
      </c>
      <c r="N125" s="109">
        <f t="shared" si="165"/>
        <v>0</v>
      </c>
      <c r="O125" s="109">
        <f t="shared" si="165"/>
        <v>0</v>
      </c>
      <c r="P125" s="135">
        <v>0</v>
      </c>
      <c r="Q125" s="135"/>
      <c r="R125" s="135">
        <v>0</v>
      </c>
      <c r="S125" s="135">
        <v>0</v>
      </c>
      <c r="T125" s="130">
        <f t="shared" si="161"/>
        <v>90000</v>
      </c>
      <c r="U125" s="109">
        <v>0</v>
      </c>
      <c r="V125" s="109">
        <f t="shared" si="167"/>
        <v>90000</v>
      </c>
      <c r="W125" s="109">
        <f t="shared" si="168"/>
        <v>0</v>
      </c>
      <c r="X125" s="109">
        <f t="shared" si="168"/>
        <v>0</v>
      </c>
      <c r="Y125" s="109">
        <f t="shared" si="168"/>
        <v>0</v>
      </c>
      <c r="Z125" s="135">
        <v>0</v>
      </c>
    </row>
    <row r="126" spans="1:26" s="136" customFormat="1" ht="56.25">
      <c r="A126" s="139"/>
      <c r="B126" s="154" t="s">
        <v>433</v>
      </c>
      <c r="C126" s="107" t="s">
        <v>160</v>
      </c>
      <c r="D126" s="107">
        <v>0</v>
      </c>
      <c r="E126" s="107" t="s">
        <v>333</v>
      </c>
      <c r="F126" s="107" t="s">
        <v>471</v>
      </c>
      <c r="G126" s="110">
        <v>90000</v>
      </c>
      <c r="H126" s="110">
        <v>0</v>
      </c>
      <c r="I126" s="110">
        <v>90000</v>
      </c>
      <c r="J126" s="110" t="s">
        <v>336</v>
      </c>
      <c r="K126" s="110">
        <v>0</v>
      </c>
      <c r="L126" s="141">
        <f t="shared" ref="L126" si="169">SUM(M126:O126)</f>
        <v>0</v>
      </c>
      <c r="M126" s="50"/>
      <c r="N126" s="110">
        <v>0</v>
      </c>
      <c r="O126" s="50">
        <v>0</v>
      </c>
      <c r="P126" s="141">
        <f>SUM(Q126:S126)</f>
        <v>0</v>
      </c>
      <c r="Q126" s="141">
        <f>M126</f>
        <v>0</v>
      </c>
      <c r="R126" s="141">
        <f>N126</f>
        <v>0</v>
      </c>
      <c r="S126" s="141">
        <f>O126</f>
        <v>0</v>
      </c>
      <c r="T126" s="141">
        <f t="shared" si="161"/>
        <v>90000</v>
      </c>
      <c r="U126" s="110">
        <v>0</v>
      </c>
      <c r="V126" s="110">
        <v>90000</v>
      </c>
      <c r="W126" s="110">
        <v>0</v>
      </c>
      <c r="X126" s="110">
        <v>0</v>
      </c>
      <c r="Y126" s="110">
        <v>0</v>
      </c>
      <c r="Z126" s="50">
        <v>0</v>
      </c>
    </row>
    <row r="127" spans="1:26" s="136" customFormat="1" ht="39" customHeight="1">
      <c r="A127" s="168" t="s">
        <v>353</v>
      </c>
      <c r="B127" s="168" t="s">
        <v>367</v>
      </c>
      <c r="C127" s="168"/>
      <c r="D127" s="168"/>
      <c r="E127" s="168"/>
      <c r="F127" s="168"/>
      <c r="G127" s="170"/>
      <c r="H127" s="170"/>
      <c r="I127" s="170"/>
      <c r="J127" s="170"/>
      <c r="K127" s="170"/>
      <c r="L127" s="170"/>
      <c r="M127" s="170"/>
      <c r="N127" s="170"/>
      <c r="O127" s="170"/>
      <c r="P127" s="170"/>
      <c r="Q127" s="170"/>
      <c r="R127" s="170"/>
      <c r="S127" s="170"/>
      <c r="T127" s="130">
        <f t="shared" ref="T127" si="170">SUM(U127:Z127)</f>
        <v>739590</v>
      </c>
      <c r="U127" s="170"/>
      <c r="V127" s="170"/>
      <c r="W127" s="170"/>
      <c r="X127" s="170"/>
      <c r="Y127" s="170">
        <f>'Bieu so 49'!D21</f>
        <v>739590</v>
      </c>
      <c r="Z127" s="170"/>
    </row>
    <row r="128" spans="1:26" s="174" customFormat="1">
      <c r="A128" s="123"/>
      <c r="B128" s="171"/>
      <c r="C128" s="172"/>
      <c r="D128" s="172"/>
      <c r="E128" s="172"/>
      <c r="F128" s="172"/>
      <c r="G128" s="173"/>
      <c r="H128" s="173"/>
      <c r="I128" s="173"/>
      <c r="J128" s="173"/>
      <c r="K128" s="173"/>
      <c r="L128" s="173"/>
      <c r="M128" s="173"/>
      <c r="N128" s="173"/>
      <c r="O128" s="173"/>
      <c r="P128" s="173"/>
      <c r="Q128" s="173"/>
      <c r="R128" s="173"/>
      <c r="S128" s="173"/>
      <c r="T128" s="173"/>
      <c r="U128" s="173"/>
      <c r="V128" s="173"/>
      <c r="W128" s="173"/>
      <c r="X128" s="173"/>
      <c r="Y128" s="173"/>
      <c r="Z128" s="173"/>
    </row>
  </sheetData>
  <mergeCells count="40">
    <mergeCell ref="P8:P10"/>
    <mergeCell ref="G7:K7"/>
    <mergeCell ref="H8:K8"/>
    <mergeCell ref="A6:A10"/>
    <mergeCell ref="B6:B10"/>
    <mergeCell ref="C6:C10"/>
    <mergeCell ref="D6:D10"/>
    <mergeCell ref="E6:E10"/>
    <mergeCell ref="F7:F10"/>
    <mergeCell ref="G8:G10"/>
    <mergeCell ref="H9:H10"/>
    <mergeCell ref="I9:I10"/>
    <mergeCell ref="J9:J10"/>
    <mergeCell ref="K9:K10"/>
    <mergeCell ref="A1:B1"/>
    <mergeCell ref="P6:S7"/>
    <mergeCell ref="Q8:S8"/>
    <mergeCell ref="Q9:Q10"/>
    <mergeCell ref="R9:R10"/>
    <mergeCell ref="S9:S10"/>
    <mergeCell ref="L6:O7"/>
    <mergeCell ref="L8:L10"/>
    <mergeCell ref="M8:O8"/>
    <mergeCell ref="M9:M10"/>
    <mergeCell ref="N9:N10"/>
    <mergeCell ref="O9:O10"/>
    <mergeCell ref="A2:Z2"/>
    <mergeCell ref="A3:Z3"/>
    <mergeCell ref="F6:K6"/>
    <mergeCell ref="W5:Z5"/>
    <mergeCell ref="V1:Z1"/>
    <mergeCell ref="T6:Z7"/>
    <mergeCell ref="T8:T10"/>
    <mergeCell ref="U8:Z8"/>
    <mergeCell ref="U9:U10"/>
    <mergeCell ref="V9:V10"/>
    <mergeCell ref="W9:W10"/>
    <mergeCell ref="X9:X10"/>
    <mergeCell ref="Y9:Y10"/>
    <mergeCell ref="Z9:Z10"/>
  </mergeCells>
  <pageMargins left="0.51181102362204722" right="0.37" top="0.6692913385826772" bottom="0.39370078740157483" header="0.31496062992125984" footer="0.31496062992125984"/>
  <pageSetup paperSize="9" scale="38" orientation="landscape" verticalDpi="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AC407"/>
  <sheetViews>
    <sheetView zoomScale="60" zoomScaleNormal="60" workbookViewId="0">
      <selection activeCell="M12" sqref="M12"/>
    </sheetView>
  </sheetViews>
  <sheetFormatPr defaultColWidth="9.140625" defaultRowHeight="15.75"/>
  <cols>
    <col min="1" max="1" width="7.7109375" style="234" customWidth="1"/>
    <col min="2" max="2" width="36.28515625" style="233" customWidth="1"/>
    <col min="3" max="3" width="19" style="235" customWidth="1"/>
    <col min="4" max="5" width="9.140625" style="233" hidden="1" customWidth="1"/>
    <col min="6" max="6" width="22.28515625" style="233" customWidth="1"/>
    <col min="7" max="7" width="16.85546875" style="233" customWidth="1"/>
    <col min="8" max="8" width="15.140625" style="233" customWidth="1"/>
    <col min="9" max="9" width="16" style="233" customWidth="1"/>
    <col min="10" max="10" width="17.140625" style="233" customWidth="1"/>
    <col min="11" max="11" width="9.140625" style="233" customWidth="1"/>
    <col min="12" max="12" width="16.7109375" style="233" customWidth="1"/>
    <col min="13" max="13" width="11.5703125" style="233" customWidth="1"/>
    <col min="14" max="14" width="15.28515625" style="233" customWidth="1"/>
    <col min="15" max="15" width="16" style="233" customWidth="1"/>
    <col min="16" max="16" width="9.140625" style="233" customWidth="1"/>
    <col min="17" max="17" width="16.140625" style="233" customWidth="1"/>
    <col min="18" max="18" width="15.85546875" style="233" customWidth="1"/>
    <col min="19" max="19" width="9.140625" style="233"/>
    <col min="20" max="20" width="18.140625" style="233" customWidth="1"/>
    <col min="21" max="21" width="12.7109375" style="233" customWidth="1"/>
    <col min="22" max="22" width="16" style="233" customWidth="1"/>
    <col min="23" max="23" width="13.42578125" style="233" customWidth="1"/>
    <col min="24" max="24" width="44.42578125" style="234" customWidth="1"/>
    <col min="25" max="25" width="21.42578125" style="233" hidden="1" customWidth="1"/>
    <col min="26" max="26" width="16.140625" style="233" hidden="1" customWidth="1"/>
    <col min="27" max="27" width="9.140625" style="593"/>
    <col min="28" max="28" width="14.140625" style="593" customWidth="1"/>
    <col min="29" max="29" width="16.28515625" style="593" customWidth="1"/>
    <col min="30" max="16384" width="9.140625" style="233"/>
  </cols>
  <sheetData>
    <row r="1" spans="1:29">
      <c r="A1" s="835" t="s">
        <v>1629</v>
      </c>
      <c r="B1" s="835"/>
      <c r="C1" s="230"/>
      <c r="D1" s="230"/>
      <c r="E1" s="230"/>
      <c r="F1" s="230"/>
      <c r="G1" s="231"/>
      <c r="H1" s="231"/>
      <c r="I1" s="231"/>
      <c r="J1" s="231"/>
      <c r="K1" s="231"/>
      <c r="L1" s="231"/>
      <c r="M1" s="231"/>
      <c r="N1" s="231"/>
      <c r="O1" s="231"/>
      <c r="P1" s="232"/>
      <c r="Q1" s="232"/>
      <c r="R1" s="231"/>
      <c r="S1" s="836" t="s">
        <v>321</v>
      </c>
      <c r="T1" s="836"/>
      <c r="U1" s="836"/>
      <c r="V1" s="836"/>
      <c r="W1" s="836"/>
      <c r="X1" s="836"/>
    </row>
    <row r="2" spans="1:29" ht="22.9" customHeight="1">
      <c r="A2" s="837" t="s">
        <v>1628</v>
      </c>
      <c r="B2" s="837"/>
      <c r="C2" s="837"/>
      <c r="D2" s="837"/>
      <c r="E2" s="837"/>
      <c r="F2" s="837"/>
      <c r="G2" s="837"/>
      <c r="H2" s="837"/>
      <c r="I2" s="837"/>
      <c r="J2" s="837"/>
      <c r="K2" s="837"/>
      <c r="L2" s="837"/>
      <c r="M2" s="837"/>
      <c r="N2" s="837"/>
      <c r="O2" s="837"/>
      <c r="P2" s="837"/>
      <c r="Q2" s="837"/>
      <c r="R2" s="837"/>
      <c r="S2" s="837"/>
      <c r="T2" s="837"/>
      <c r="U2" s="837"/>
      <c r="V2" s="837"/>
      <c r="W2" s="837"/>
      <c r="X2" s="837"/>
    </row>
    <row r="3" spans="1:29" ht="22.9" customHeight="1">
      <c r="A3" s="838" t="s">
        <v>147</v>
      </c>
      <c r="B3" s="838"/>
      <c r="C3" s="838"/>
      <c r="D3" s="838"/>
      <c r="E3" s="838"/>
      <c r="F3" s="838"/>
      <c r="G3" s="838"/>
      <c r="H3" s="838"/>
      <c r="I3" s="838"/>
      <c r="J3" s="838"/>
      <c r="K3" s="838"/>
      <c r="L3" s="838"/>
      <c r="M3" s="838"/>
      <c r="N3" s="838"/>
      <c r="O3" s="838"/>
      <c r="P3" s="838"/>
      <c r="Q3" s="838"/>
      <c r="R3" s="838"/>
      <c r="S3" s="838"/>
      <c r="T3" s="838"/>
      <c r="U3" s="838"/>
      <c r="V3" s="838"/>
      <c r="W3" s="838"/>
      <c r="X3" s="838"/>
    </row>
    <row r="4" spans="1:29" s="234" customFormat="1" ht="26.25" customHeight="1">
      <c r="C4" s="235"/>
      <c r="V4" s="839" t="s">
        <v>1</v>
      </c>
      <c r="W4" s="839"/>
      <c r="X4" s="839"/>
      <c r="AA4" s="594"/>
      <c r="AB4" s="594"/>
      <c r="AC4" s="594"/>
    </row>
    <row r="5" spans="1:29" s="234" customFormat="1" ht="18" customHeight="1">
      <c r="A5" s="833" t="s">
        <v>322</v>
      </c>
      <c r="B5" s="833" t="s">
        <v>5</v>
      </c>
      <c r="C5" s="834" t="s">
        <v>149</v>
      </c>
      <c r="D5" s="834" t="s">
        <v>150</v>
      </c>
      <c r="E5" s="834" t="s">
        <v>323</v>
      </c>
      <c r="F5" s="834" t="s">
        <v>324</v>
      </c>
      <c r="G5" s="834"/>
      <c r="H5" s="834"/>
      <c r="I5" s="834"/>
      <c r="J5" s="834"/>
      <c r="K5" s="834"/>
      <c r="L5" s="834" t="s">
        <v>944</v>
      </c>
      <c r="M5" s="834"/>
      <c r="N5" s="834"/>
      <c r="O5" s="834"/>
      <c r="P5" s="834"/>
      <c r="Q5" s="834" t="s">
        <v>1627</v>
      </c>
      <c r="R5" s="834"/>
      <c r="S5" s="834"/>
      <c r="T5" s="834"/>
      <c r="U5" s="834"/>
      <c r="V5" s="834"/>
      <c r="W5" s="834"/>
      <c r="X5" s="840" t="s">
        <v>543</v>
      </c>
      <c r="AA5" s="594"/>
      <c r="AB5" s="594"/>
      <c r="AC5" s="594"/>
    </row>
    <row r="6" spans="1:29" ht="19.149999999999999" customHeight="1">
      <c r="A6" s="833"/>
      <c r="B6" s="833"/>
      <c r="C6" s="834"/>
      <c r="D6" s="834"/>
      <c r="E6" s="834"/>
      <c r="F6" s="834" t="s">
        <v>151</v>
      </c>
      <c r="G6" s="834" t="s">
        <v>152</v>
      </c>
      <c r="H6" s="834"/>
      <c r="I6" s="834"/>
      <c r="J6" s="834"/>
      <c r="K6" s="834"/>
      <c r="L6" s="834" t="s">
        <v>27</v>
      </c>
      <c r="M6" s="236"/>
      <c r="N6" s="834" t="s">
        <v>325</v>
      </c>
      <c r="O6" s="834"/>
      <c r="P6" s="834"/>
      <c r="Q6" s="834" t="s">
        <v>27</v>
      </c>
      <c r="R6" s="834" t="s">
        <v>153</v>
      </c>
      <c r="S6" s="834"/>
      <c r="T6" s="834"/>
      <c r="U6" s="834"/>
      <c r="V6" s="834"/>
      <c r="W6" s="834"/>
      <c r="X6" s="840"/>
    </row>
    <row r="7" spans="1:29" s="229" customFormat="1" ht="36" customHeight="1">
      <c r="A7" s="833"/>
      <c r="B7" s="833"/>
      <c r="C7" s="834"/>
      <c r="D7" s="834"/>
      <c r="E7" s="834"/>
      <c r="F7" s="834"/>
      <c r="G7" s="834" t="s">
        <v>27</v>
      </c>
      <c r="H7" s="834" t="s">
        <v>96</v>
      </c>
      <c r="I7" s="834"/>
      <c r="J7" s="834"/>
      <c r="K7" s="834"/>
      <c r="L7" s="834"/>
      <c r="M7" s="834" t="s">
        <v>544</v>
      </c>
      <c r="N7" s="834" t="s">
        <v>154</v>
      </c>
      <c r="O7" s="834" t="s">
        <v>545</v>
      </c>
      <c r="P7" s="834" t="s">
        <v>13</v>
      </c>
      <c r="Q7" s="834"/>
      <c r="R7" s="834" t="s">
        <v>327</v>
      </c>
      <c r="S7" s="834" t="s">
        <v>328</v>
      </c>
      <c r="T7" s="834" t="s">
        <v>329</v>
      </c>
      <c r="U7" s="834" t="s">
        <v>546</v>
      </c>
      <c r="V7" s="834" t="s">
        <v>547</v>
      </c>
      <c r="W7" s="834" t="s">
        <v>548</v>
      </c>
      <c r="X7" s="840"/>
      <c r="AA7" s="595"/>
      <c r="AB7" s="595"/>
      <c r="AC7" s="595"/>
    </row>
    <row r="8" spans="1:29" s="229" customFormat="1" ht="26.45" customHeight="1">
      <c r="A8" s="833"/>
      <c r="B8" s="833"/>
      <c r="C8" s="834"/>
      <c r="D8" s="834"/>
      <c r="E8" s="834"/>
      <c r="F8" s="834"/>
      <c r="G8" s="834"/>
      <c r="H8" s="834" t="s">
        <v>544</v>
      </c>
      <c r="I8" s="834" t="s">
        <v>331</v>
      </c>
      <c r="J8" s="834" t="s">
        <v>545</v>
      </c>
      <c r="K8" s="834" t="s">
        <v>332</v>
      </c>
      <c r="L8" s="834"/>
      <c r="M8" s="834"/>
      <c r="N8" s="834"/>
      <c r="O8" s="834"/>
      <c r="P8" s="834"/>
      <c r="Q8" s="834"/>
      <c r="R8" s="834"/>
      <c r="S8" s="834"/>
      <c r="T8" s="834"/>
      <c r="U8" s="834"/>
      <c r="V8" s="834"/>
      <c r="W8" s="834"/>
      <c r="X8" s="840"/>
      <c r="AA8" s="595"/>
      <c r="AB8" s="595"/>
      <c r="AC8" s="595"/>
    </row>
    <row r="9" spans="1:29" s="229" customFormat="1" ht="55.9" customHeight="1">
      <c r="A9" s="833"/>
      <c r="B9" s="833"/>
      <c r="C9" s="834"/>
      <c r="D9" s="834"/>
      <c r="E9" s="834"/>
      <c r="F9" s="834"/>
      <c r="G9" s="834"/>
      <c r="H9" s="834"/>
      <c r="I9" s="834"/>
      <c r="J9" s="834"/>
      <c r="K9" s="834"/>
      <c r="L9" s="834"/>
      <c r="M9" s="834"/>
      <c r="N9" s="834"/>
      <c r="O9" s="834"/>
      <c r="P9" s="834"/>
      <c r="Q9" s="834"/>
      <c r="R9" s="834"/>
      <c r="S9" s="834"/>
      <c r="T9" s="834"/>
      <c r="U9" s="834"/>
      <c r="V9" s="834"/>
      <c r="W9" s="834"/>
      <c r="X9" s="840"/>
      <c r="AA9" s="595"/>
      <c r="AB9" s="595"/>
      <c r="AC9" s="595"/>
    </row>
    <row r="10" spans="1:29" ht="36" customHeight="1">
      <c r="A10" s="237"/>
      <c r="B10" s="237" t="s">
        <v>387</v>
      </c>
      <c r="C10" s="238"/>
      <c r="D10" s="239"/>
      <c r="E10" s="239"/>
      <c r="F10" s="239"/>
      <c r="G10" s="240">
        <f t="shared" ref="G10:P10" si="0">G11+G21+G24+G82+G92+G97+G341+G398+G399+G400+G401</f>
        <v>33087510.556299999</v>
      </c>
      <c r="H10" s="240">
        <f t="shared" si="0"/>
        <v>3212031</v>
      </c>
      <c r="I10" s="240">
        <f t="shared" si="0"/>
        <v>7120280</v>
      </c>
      <c r="J10" s="240">
        <f t="shared" si="0"/>
        <v>22750776.556299999</v>
      </c>
      <c r="K10" s="240">
        <f t="shared" si="0"/>
        <v>0</v>
      </c>
      <c r="L10" s="240">
        <f t="shared" si="0"/>
        <v>12540476.800000001</v>
      </c>
      <c r="M10" s="240">
        <f t="shared" si="0"/>
        <v>220191</v>
      </c>
      <c r="N10" s="240">
        <f t="shared" si="0"/>
        <v>2833706</v>
      </c>
      <c r="O10" s="240">
        <f t="shared" si="0"/>
        <v>9266579.8000000007</v>
      </c>
      <c r="P10" s="240">
        <f t="shared" si="0"/>
        <v>0</v>
      </c>
      <c r="Q10" s="240">
        <f>Q11+Q21+Q24+Q82+Q92+Q97+Q341</f>
        <v>4608215.4000000004</v>
      </c>
      <c r="R10" s="240">
        <f>R11+R21+R24+R82+R92+R97+R341</f>
        <v>759227</v>
      </c>
      <c r="S10" s="240">
        <f t="shared" ref="S10:W10" si="1">S11+S21+S24+S82+S92+S97+S341</f>
        <v>0</v>
      </c>
      <c r="T10" s="240">
        <f t="shared" si="1"/>
        <v>3182183.4</v>
      </c>
      <c r="U10" s="240">
        <f t="shared" si="1"/>
        <v>114000</v>
      </c>
      <c r="V10" s="240">
        <f t="shared" si="1"/>
        <v>404373</v>
      </c>
      <c r="W10" s="240">
        <f t="shared" si="1"/>
        <v>148432</v>
      </c>
      <c r="X10" s="266"/>
      <c r="Y10" s="232">
        <f>N10+O10+P10</f>
        <v>12100285.800000001</v>
      </c>
      <c r="Z10" s="232">
        <f>L10-Y10</f>
        <v>440191</v>
      </c>
    </row>
    <row r="11" spans="1:29" s="354" customFormat="1" ht="37.9" customHeight="1">
      <c r="A11" s="557" t="s">
        <v>55</v>
      </c>
      <c r="B11" s="603" t="s">
        <v>125</v>
      </c>
      <c r="C11" s="294"/>
      <c r="D11" s="352"/>
      <c r="E11" s="352"/>
      <c r="F11" s="352"/>
      <c r="G11" s="240">
        <f>G12+G17</f>
        <v>140986</v>
      </c>
      <c r="H11" s="240">
        <f t="shared" ref="H11:W11" si="2">H12+H17</f>
        <v>0</v>
      </c>
      <c r="I11" s="240">
        <f t="shared" si="2"/>
        <v>0</v>
      </c>
      <c r="J11" s="240">
        <f t="shared" si="2"/>
        <v>140986</v>
      </c>
      <c r="K11" s="240">
        <f t="shared" si="2"/>
        <v>0</v>
      </c>
      <c r="L11" s="240">
        <f t="shared" si="2"/>
        <v>77805</v>
      </c>
      <c r="M11" s="240">
        <f t="shared" si="2"/>
        <v>0</v>
      </c>
      <c r="N11" s="240">
        <f t="shared" si="2"/>
        <v>0</v>
      </c>
      <c r="O11" s="240">
        <f t="shared" si="2"/>
        <v>77805</v>
      </c>
      <c r="P11" s="240">
        <f t="shared" si="2"/>
        <v>0</v>
      </c>
      <c r="Q11" s="240">
        <f t="shared" si="2"/>
        <v>50800</v>
      </c>
      <c r="R11" s="240">
        <f t="shared" si="2"/>
        <v>17259</v>
      </c>
      <c r="S11" s="240">
        <f t="shared" si="2"/>
        <v>0</v>
      </c>
      <c r="T11" s="240">
        <f>T12+T17</f>
        <v>33541</v>
      </c>
      <c r="U11" s="240">
        <f t="shared" si="2"/>
        <v>0</v>
      </c>
      <c r="V11" s="240">
        <f t="shared" si="2"/>
        <v>0</v>
      </c>
      <c r="W11" s="240">
        <f t="shared" si="2"/>
        <v>0</v>
      </c>
      <c r="X11" s="224"/>
      <c r="Y11" s="232">
        <f t="shared" ref="Y11:Y227" si="3">N11+O11+P11</f>
        <v>77805</v>
      </c>
      <c r="Z11" s="232">
        <f>L11-Y11</f>
        <v>0</v>
      </c>
      <c r="AA11" s="598"/>
      <c r="AB11" s="604">
        <v>974500</v>
      </c>
      <c r="AC11" s="598">
        <v>7083900</v>
      </c>
    </row>
    <row r="12" spans="1:29" ht="37.9" customHeight="1">
      <c r="A12" s="249" t="s">
        <v>97</v>
      </c>
      <c r="B12" s="250" t="s">
        <v>945</v>
      </c>
      <c r="C12" s="251"/>
      <c r="D12" s="252"/>
      <c r="E12" s="252"/>
      <c r="F12" s="199"/>
      <c r="G12" s="253">
        <f>SUM(G13:G16)</f>
        <v>98586</v>
      </c>
      <c r="H12" s="253">
        <f t="shared" ref="H12:W12" si="4">SUM(H13:H16)</f>
        <v>0</v>
      </c>
      <c r="I12" s="253">
        <f t="shared" si="4"/>
        <v>0</v>
      </c>
      <c r="J12" s="253">
        <f t="shared" si="4"/>
        <v>98586</v>
      </c>
      <c r="K12" s="253">
        <f t="shared" si="4"/>
        <v>0</v>
      </c>
      <c r="L12" s="253">
        <f t="shared" si="4"/>
        <v>52195</v>
      </c>
      <c r="M12" s="253">
        <f t="shared" si="4"/>
        <v>0</v>
      </c>
      <c r="N12" s="253">
        <f t="shared" si="4"/>
        <v>0</v>
      </c>
      <c r="O12" s="253">
        <f t="shared" si="4"/>
        <v>52195</v>
      </c>
      <c r="P12" s="253">
        <f t="shared" si="4"/>
        <v>0</v>
      </c>
      <c r="Q12" s="253">
        <f>SUM(Q13:Q16)</f>
        <v>40500</v>
      </c>
      <c r="R12" s="253">
        <f>SUM(R13:R16)</f>
        <v>17259</v>
      </c>
      <c r="S12" s="253">
        <f t="shared" si="4"/>
        <v>0</v>
      </c>
      <c r="T12" s="253">
        <f t="shared" si="4"/>
        <v>23241</v>
      </c>
      <c r="U12" s="253">
        <f t="shared" si="4"/>
        <v>0</v>
      </c>
      <c r="V12" s="253">
        <f t="shared" si="4"/>
        <v>0</v>
      </c>
      <c r="W12" s="253">
        <f t="shared" si="4"/>
        <v>0</v>
      </c>
      <c r="X12" s="224"/>
      <c r="Y12" s="232">
        <f t="shared" si="3"/>
        <v>52195</v>
      </c>
      <c r="Z12" s="232">
        <f>L12-Y12</f>
        <v>0</v>
      </c>
      <c r="AB12" s="604">
        <f>R10-AB11</f>
        <v>-215273</v>
      </c>
      <c r="AC12" s="605">
        <f>T10-AC11</f>
        <v>-3901716.6</v>
      </c>
    </row>
    <row r="13" spans="1:29" ht="77.25" customHeight="1">
      <c r="A13" s="254"/>
      <c r="B13" s="606" t="s">
        <v>946</v>
      </c>
      <c r="C13" s="607" t="s">
        <v>947</v>
      </c>
      <c r="D13" s="239"/>
      <c r="E13" s="239"/>
      <c r="F13" s="608" t="s">
        <v>745</v>
      </c>
      <c r="G13" s="257">
        <f>SUM(H13:K13)</f>
        <v>35000</v>
      </c>
      <c r="H13" s="197"/>
      <c r="I13" s="197"/>
      <c r="J13" s="609">
        <v>35000</v>
      </c>
      <c r="K13" s="258"/>
      <c r="L13" s="197">
        <f>SUM(M13:P13)</f>
        <v>29695</v>
      </c>
      <c r="M13" s="197"/>
      <c r="N13" s="258"/>
      <c r="O13" s="609">
        <v>29695</v>
      </c>
      <c r="P13" s="259"/>
      <c r="Q13" s="197">
        <f>SUM(R13:W13)</f>
        <v>5000</v>
      </c>
      <c r="R13" s="609">
        <v>5000</v>
      </c>
      <c r="S13" s="197"/>
      <c r="T13" s="609"/>
      <c r="U13" s="197"/>
      <c r="V13" s="197"/>
      <c r="W13" s="197"/>
      <c r="X13" s="260" t="s">
        <v>948</v>
      </c>
      <c r="Y13" s="232"/>
      <c r="Z13" s="232"/>
      <c r="AA13" s="593" t="s">
        <v>905</v>
      </c>
    </row>
    <row r="14" spans="1:29" ht="70.5" customHeight="1">
      <c r="A14" s="254"/>
      <c r="B14" s="606" t="s">
        <v>949</v>
      </c>
      <c r="C14" s="607" t="s">
        <v>894</v>
      </c>
      <c r="D14" s="239"/>
      <c r="E14" s="239"/>
      <c r="F14" s="608" t="s">
        <v>950</v>
      </c>
      <c r="G14" s="257">
        <f>SUM(H14:K14)</f>
        <v>14900</v>
      </c>
      <c r="H14" s="197"/>
      <c r="I14" s="197"/>
      <c r="J14" s="609">
        <v>14900</v>
      </c>
      <c r="K14" s="258"/>
      <c r="L14" s="197">
        <f>SUM(M14:P14)</f>
        <v>13500</v>
      </c>
      <c r="M14" s="197"/>
      <c r="N14" s="258"/>
      <c r="O14" s="609">
        <v>13500</v>
      </c>
      <c r="P14" s="259"/>
      <c r="Q14" s="197">
        <f>SUM(R14:W14)</f>
        <v>1000</v>
      </c>
      <c r="R14" s="609">
        <v>1000</v>
      </c>
      <c r="S14" s="197"/>
      <c r="T14" s="609"/>
      <c r="U14" s="197"/>
      <c r="V14" s="197"/>
      <c r="W14" s="197"/>
      <c r="X14" s="260" t="s">
        <v>948</v>
      </c>
      <c r="Y14" s="232"/>
      <c r="Z14" s="232"/>
    </row>
    <row r="15" spans="1:29" ht="78.75" customHeight="1">
      <c r="A15" s="254"/>
      <c r="B15" s="606" t="s">
        <v>951</v>
      </c>
      <c r="C15" s="607" t="s">
        <v>947</v>
      </c>
      <c r="D15" s="239"/>
      <c r="E15" s="239"/>
      <c r="F15" s="608" t="s">
        <v>952</v>
      </c>
      <c r="G15" s="257">
        <f>SUM(H15:K15)</f>
        <v>24000</v>
      </c>
      <c r="H15" s="197"/>
      <c r="I15" s="197"/>
      <c r="J15" s="609">
        <f>40000-16000</f>
        <v>24000</v>
      </c>
      <c r="K15" s="258"/>
      <c r="L15" s="197"/>
      <c r="M15" s="197"/>
      <c r="N15" s="258"/>
      <c r="O15" s="609">
        <v>0</v>
      </c>
      <c r="P15" s="259"/>
      <c r="Q15" s="197">
        <f>SUM(R15:W15)</f>
        <v>20000</v>
      </c>
      <c r="R15" s="609">
        <v>11259</v>
      </c>
      <c r="S15" s="197"/>
      <c r="T15" s="609">
        <v>8741</v>
      </c>
      <c r="U15" s="197"/>
      <c r="V15" s="197"/>
      <c r="W15" s="197"/>
      <c r="X15" s="260" t="s">
        <v>948</v>
      </c>
      <c r="Y15" s="232"/>
      <c r="Z15" s="232"/>
    </row>
    <row r="16" spans="1:29" s="281" customFormat="1" ht="54.75" customHeight="1">
      <c r="A16" s="238"/>
      <c r="B16" s="606" t="s">
        <v>953</v>
      </c>
      <c r="C16" s="607" t="s">
        <v>954</v>
      </c>
      <c r="D16" s="254"/>
      <c r="E16" s="254"/>
      <c r="F16" s="608" t="s">
        <v>955</v>
      </c>
      <c r="G16" s="197">
        <f>SUM(H16:K16)</f>
        <v>24686</v>
      </c>
      <c r="H16" s="197"/>
      <c r="I16" s="197"/>
      <c r="J16" s="609">
        <v>24686</v>
      </c>
      <c r="K16" s="197"/>
      <c r="L16" s="197">
        <f>SUM(M16:P16)</f>
        <v>9000</v>
      </c>
      <c r="M16" s="197"/>
      <c r="N16" s="197"/>
      <c r="O16" s="609">
        <v>9000</v>
      </c>
      <c r="P16" s="197"/>
      <c r="Q16" s="181">
        <f>SUM(R16:W16)</f>
        <v>14500</v>
      </c>
      <c r="R16" s="609"/>
      <c r="S16" s="197"/>
      <c r="T16" s="609">
        <v>14500</v>
      </c>
      <c r="U16" s="197"/>
      <c r="V16" s="197"/>
      <c r="W16" s="197"/>
      <c r="X16" s="260" t="s">
        <v>948</v>
      </c>
      <c r="Y16" s="232"/>
      <c r="Z16" s="232"/>
      <c r="AA16" s="596"/>
      <c r="AB16" s="596"/>
      <c r="AC16" s="596"/>
    </row>
    <row r="17" spans="1:29" s="298" customFormat="1" ht="39" customHeight="1">
      <c r="A17" s="294" t="s">
        <v>49</v>
      </c>
      <c r="B17" s="610" t="s">
        <v>956</v>
      </c>
      <c r="C17" s="611"/>
      <c r="D17" s="557"/>
      <c r="E17" s="557"/>
      <c r="F17" s="612"/>
      <c r="G17" s="295">
        <f>SUM(G18:G20)</f>
        <v>42400</v>
      </c>
      <c r="H17" s="295">
        <f t="shared" ref="H17:W17" si="5">SUM(H18:H20)</f>
        <v>0</v>
      </c>
      <c r="I17" s="295">
        <f t="shared" si="5"/>
        <v>0</v>
      </c>
      <c r="J17" s="295">
        <f t="shared" si="5"/>
        <v>42400</v>
      </c>
      <c r="K17" s="295">
        <f t="shared" si="5"/>
        <v>0</v>
      </c>
      <c r="L17" s="295">
        <f t="shared" si="5"/>
        <v>25610</v>
      </c>
      <c r="M17" s="295">
        <f t="shared" si="5"/>
        <v>0</v>
      </c>
      <c r="N17" s="295">
        <f t="shared" si="5"/>
        <v>0</v>
      </c>
      <c r="O17" s="295">
        <f t="shared" si="5"/>
        <v>25610</v>
      </c>
      <c r="P17" s="295">
        <f t="shared" si="5"/>
        <v>0</v>
      </c>
      <c r="Q17" s="295">
        <f t="shared" si="5"/>
        <v>10300</v>
      </c>
      <c r="R17" s="295">
        <f t="shared" si="5"/>
        <v>0</v>
      </c>
      <c r="S17" s="295">
        <f t="shared" si="5"/>
        <v>0</v>
      </c>
      <c r="T17" s="295">
        <f t="shared" si="5"/>
        <v>10300</v>
      </c>
      <c r="U17" s="295">
        <f t="shared" si="5"/>
        <v>0</v>
      </c>
      <c r="V17" s="295">
        <f t="shared" si="5"/>
        <v>0</v>
      </c>
      <c r="W17" s="295">
        <f t="shared" si="5"/>
        <v>0</v>
      </c>
      <c r="X17" s="613"/>
      <c r="Y17" s="297"/>
      <c r="Z17" s="297"/>
      <c r="AA17" s="597"/>
      <c r="AB17" s="597"/>
      <c r="AC17" s="597"/>
    </row>
    <row r="18" spans="1:29" s="281" customFormat="1" ht="77.25" customHeight="1">
      <c r="A18" s="238"/>
      <c r="B18" s="606" t="s">
        <v>957</v>
      </c>
      <c r="C18" s="607" t="s">
        <v>947</v>
      </c>
      <c r="D18" s="254"/>
      <c r="E18" s="254"/>
      <c r="F18" s="608" t="s">
        <v>958</v>
      </c>
      <c r="G18" s="197">
        <f>SUM(H18:K18)</f>
        <v>14600</v>
      </c>
      <c r="H18" s="197"/>
      <c r="I18" s="197"/>
      <c r="J18" s="609">
        <v>14600</v>
      </c>
      <c r="K18" s="197"/>
      <c r="L18" s="197">
        <f>SUM(M18:P18)</f>
        <v>10010</v>
      </c>
      <c r="M18" s="197"/>
      <c r="N18" s="197"/>
      <c r="O18" s="609">
        <v>10010</v>
      </c>
      <c r="P18" s="197"/>
      <c r="Q18" s="181">
        <f>SUM(R18:W18)</f>
        <v>2000</v>
      </c>
      <c r="R18" s="609"/>
      <c r="S18" s="197"/>
      <c r="T18" s="609">
        <v>2000</v>
      </c>
      <c r="U18" s="197"/>
      <c r="V18" s="197"/>
      <c r="W18" s="197"/>
      <c r="X18" s="608" t="s">
        <v>956</v>
      </c>
      <c r="Y18" s="232"/>
      <c r="Z18" s="232"/>
      <c r="AA18" s="596" t="s">
        <v>905</v>
      </c>
      <c r="AB18" s="596"/>
      <c r="AC18" s="596"/>
    </row>
    <row r="19" spans="1:29" s="281" customFormat="1" ht="75" customHeight="1">
      <c r="A19" s="238"/>
      <c r="B19" s="606" t="s">
        <v>959</v>
      </c>
      <c r="C19" s="607" t="s">
        <v>947</v>
      </c>
      <c r="D19" s="254"/>
      <c r="E19" s="254"/>
      <c r="F19" s="608" t="s">
        <v>960</v>
      </c>
      <c r="G19" s="197">
        <f t="shared" ref="G19:G20" si="6">SUM(H19:K19)</f>
        <v>14300</v>
      </c>
      <c r="H19" s="197"/>
      <c r="I19" s="197"/>
      <c r="J19" s="609">
        <v>14300</v>
      </c>
      <c r="K19" s="197"/>
      <c r="L19" s="197">
        <f t="shared" ref="L19:L20" si="7">SUM(M19:P19)</f>
        <v>11600</v>
      </c>
      <c r="M19" s="197"/>
      <c r="N19" s="197"/>
      <c r="O19" s="609">
        <v>11600</v>
      </c>
      <c r="P19" s="197"/>
      <c r="Q19" s="181">
        <f t="shared" ref="Q19:Q20" si="8">SUM(R19:W19)</f>
        <v>1300</v>
      </c>
      <c r="R19" s="609"/>
      <c r="S19" s="197"/>
      <c r="T19" s="609">
        <v>1300</v>
      </c>
      <c r="U19" s="197"/>
      <c r="V19" s="197"/>
      <c r="W19" s="197"/>
      <c r="X19" s="608" t="s">
        <v>956</v>
      </c>
      <c r="Y19" s="232"/>
      <c r="Z19" s="232"/>
      <c r="AA19" s="596"/>
      <c r="AB19" s="596"/>
      <c r="AC19" s="596"/>
    </row>
    <row r="20" spans="1:29" s="281" customFormat="1" ht="104.25" customHeight="1">
      <c r="A20" s="238"/>
      <c r="B20" s="606" t="s">
        <v>961</v>
      </c>
      <c r="C20" s="607" t="s">
        <v>947</v>
      </c>
      <c r="D20" s="254"/>
      <c r="E20" s="254"/>
      <c r="F20" s="608" t="s">
        <v>962</v>
      </c>
      <c r="G20" s="197">
        <f t="shared" si="6"/>
        <v>13500</v>
      </c>
      <c r="H20" s="197"/>
      <c r="I20" s="197"/>
      <c r="J20" s="609">
        <v>13500</v>
      </c>
      <c r="K20" s="197"/>
      <c r="L20" s="197">
        <f t="shared" si="7"/>
        <v>4000</v>
      </c>
      <c r="M20" s="197"/>
      <c r="N20" s="197"/>
      <c r="O20" s="609">
        <v>4000</v>
      </c>
      <c r="P20" s="197"/>
      <c r="Q20" s="181">
        <f t="shared" si="8"/>
        <v>7000</v>
      </c>
      <c r="R20" s="609"/>
      <c r="S20" s="197"/>
      <c r="T20" s="609">
        <v>7000</v>
      </c>
      <c r="U20" s="197"/>
      <c r="V20" s="197"/>
      <c r="W20" s="197"/>
      <c r="X20" s="608" t="s">
        <v>956</v>
      </c>
      <c r="Y20" s="232"/>
      <c r="Z20" s="232"/>
      <c r="AA20" s="596"/>
      <c r="AB20" s="596"/>
      <c r="AC20" s="596"/>
    </row>
    <row r="21" spans="1:29" s="354" customFormat="1" ht="32.450000000000003" customHeight="1">
      <c r="A21" s="557" t="s">
        <v>56</v>
      </c>
      <c r="B21" s="321" t="s">
        <v>126</v>
      </c>
      <c r="C21" s="351"/>
      <c r="D21" s="352"/>
      <c r="E21" s="352"/>
      <c r="F21" s="351"/>
      <c r="G21" s="240">
        <f>G22</f>
        <v>55000</v>
      </c>
      <c r="H21" s="240">
        <f t="shared" ref="H21:W21" si="9">H22</f>
        <v>0</v>
      </c>
      <c r="I21" s="240">
        <f t="shared" si="9"/>
        <v>0</v>
      </c>
      <c r="J21" s="240">
        <f t="shared" si="9"/>
        <v>55000</v>
      </c>
      <c r="K21" s="240">
        <f t="shared" si="9"/>
        <v>0</v>
      </c>
      <c r="L21" s="240">
        <f t="shared" si="9"/>
        <v>47000</v>
      </c>
      <c r="M21" s="240"/>
      <c r="N21" s="240">
        <f t="shared" si="9"/>
        <v>0</v>
      </c>
      <c r="O21" s="240">
        <f t="shared" si="9"/>
        <v>47000</v>
      </c>
      <c r="P21" s="240">
        <f t="shared" si="9"/>
        <v>0</v>
      </c>
      <c r="Q21" s="240">
        <f t="shared" si="9"/>
        <v>5000</v>
      </c>
      <c r="R21" s="240">
        <f t="shared" si="9"/>
        <v>3000</v>
      </c>
      <c r="S21" s="240">
        <f t="shared" si="9"/>
        <v>0</v>
      </c>
      <c r="T21" s="240">
        <f>T22</f>
        <v>2000</v>
      </c>
      <c r="U21" s="240">
        <f t="shared" si="9"/>
        <v>0</v>
      </c>
      <c r="V21" s="240">
        <f t="shared" si="9"/>
        <v>0</v>
      </c>
      <c r="W21" s="240">
        <f t="shared" si="9"/>
        <v>0</v>
      </c>
      <c r="X21" s="224"/>
      <c r="Y21" s="232">
        <f t="shared" si="3"/>
        <v>47000</v>
      </c>
      <c r="Z21" s="232">
        <f t="shared" ref="Z21:Z23" si="10">L21-Y21</f>
        <v>0</v>
      </c>
      <c r="AA21" s="598"/>
      <c r="AB21" s="598"/>
      <c r="AC21" s="598"/>
    </row>
    <row r="22" spans="1:29" s="265" customFormat="1" ht="32.450000000000003" customHeight="1">
      <c r="A22" s="249" t="s">
        <v>97</v>
      </c>
      <c r="B22" s="252" t="s">
        <v>963</v>
      </c>
      <c r="C22" s="263"/>
      <c r="D22" s="252"/>
      <c r="E22" s="252"/>
      <c r="F22" s="263"/>
      <c r="G22" s="264">
        <f t="shared" ref="G22:W22" si="11">SUM(G23:G23)</f>
        <v>55000</v>
      </c>
      <c r="H22" s="264">
        <f t="shared" si="11"/>
        <v>0</v>
      </c>
      <c r="I22" s="264">
        <f t="shared" si="11"/>
        <v>0</v>
      </c>
      <c r="J22" s="264">
        <f t="shared" si="11"/>
        <v>55000</v>
      </c>
      <c r="K22" s="264">
        <f t="shared" si="11"/>
        <v>0</v>
      </c>
      <c r="L22" s="264">
        <f t="shared" si="11"/>
        <v>47000</v>
      </c>
      <c r="M22" s="264">
        <f t="shared" si="11"/>
        <v>0</v>
      </c>
      <c r="N22" s="264">
        <f t="shared" si="11"/>
        <v>0</v>
      </c>
      <c r="O22" s="264">
        <f t="shared" si="11"/>
        <v>47000</v>
      </c>
      <c r="P22" s="264">
        <f t="shared" si="11"/>
        <v>0</v>
      </c>
      <c r="Q22" s="264">
        <f t="shared" si="11"/>
        <v>5000</v>
      </c>
      <c r="R22" s="264">
        <f t="shared" si="11"/>
        <v>3000</v>
      </c>
      <c r="S22" s="264">
        <f t="shared" si="11"/>
        <v>0</v>
      </c>
      <c r="T22" s="264">
        <f t="shared" si="11"/>
        <v>2000</v>
      </c>
      <c r="U22" s="264">
        <f t="shared" si="11"/>
        <v>0</v>
      </c>
      <c r="V22" s="264">
        <f t="shared" si="11"/>
        <v>0</v>
      </c>
      <c r="W22" s="264">
        <f t="shared" si="11"/>
        <v>0</v>
      </c>
      <c r="X22" s="224"/>
      <c r="Y22" s="232">
        <f t="shared" si="3"/>
        <v>47000</v>
      </c>
      <c r="Z22" s="232">
        <f t="shared" si="10"/>
        <v>0</v>
      </c>
      <c r="AA22" s="601"/>
      <c r="AB22" s="601"/>
      <c r="AC22" s="601"/>
    </row>
    <row r="23" spans="1:29" ht="72" customHeight="1">
      <c r="A23" s="266"/>
      <c r="B23" s="606" t="s">
        <v>500</v>
      </c>
      <c r="C23" s="238" t="s">
        <v>964</v>
      </c>
      <c r="D23" s="239"/>
      <c r="E23" s="239"/>
      <c r="F23" s="256" t="s">
        <v>746</v>
      </c>
      <c r="G23" s="257">
        <f>SUM(H23:K23)</f>
        <v>55000</v>
      </c>
      <c r="H23" s="181"/>
      <c r="I23" s="197"/>
      <c r="J23" s="609">
        <v>55000</v>
      </c>
      <c r="K23" s="267"/>
      <c r="L23" s="181">
        <f>SUM(M23:P23)</f>
        <v>47000</v>
      </c>
      <c r="M23" s="181"/>
      <c r="N23" s="181"/>
      <c r="O23" s="609">
        <v>47000</v>
      </c>
      <c r="P23" s="181"/>
      <c r="Q23" s="181">
        <f>SUM(R23:W23)</f>
        <v>5000</v>
      </c>
      <c r="R23" s="609">
        <v>3000</v>
      </c>
      <c r="S23" s="181"/>
      <c r="T23" s="609">
        <v>2000</v>
      </c>
      <c r="U23" s="181"/>
      <c r="V23" s="181"/>
      <c r="W23" s="181"/>
      <c r="X23" s="608" t="s">
        <v>253</v>
      </c>
      <c r="Y23" s="232" t="e">
        <f>N23+#REF!+P23</f>
        <v>#REF!</v>
      </c>
      <c r="Z23" s="232" t="e">
        <f t="shared" si="10"/>
        <v>#REF!</v>
      </c>
      <c r="AA23" s="593" t="s">
        <v>905</v>
      </c>
    </row>
    <row r="24" spans="1:29" s="354" customFormat="1" ht="41.45" customHeight="1">
      <c r="A24" s="237" t="s">
        <v>57</v>
      </c>
      <c r="B24" s="614" t="s">
        <v>549</v>
      </c>
      <c r="C24" s="294"/>
      <c r="D24" s="352"/>
      <c r="E24" s="352"/>
      <c r="F24" s="615"/>
      <c r="G24" s="616">
        <f t="shared" ref="G24:W24" si="12">G25+G27+G39+G43+G49+G54+G58+G65+G77</f>
        <v>1233400</v>
      </c>
      <c r="H24" s="616">
        <f t="shared" si="12"/>
        <v>0</v>
      </c>
      <c r="I24" s="616">
        <f t="shared" si="12"/>
        <v>0</v>
      </c>
      <c r="J24" s="616">
        <f t="shared" si="12"/>
        <v>1233400</v>
      </c>
      <c r="K24" s="616">
        <f t="shared" si="12"/>
        <v>0</v>
      </c>
      <c r="L24" s="616">
        <f t="shared" si="12"/>
        <v>801963</v>
      </c>
      <c r="M24" s="616">
        <f t="shared" si="12"/>
        <v>0</v>
      </c>
      <c r="N24" s="616">
        <f t="shared" si="12"/>
        <v>0</v>
      </c>
      <c r="O24" s="616">
        <f t="shared" si="12"/>
        <v>801963</v>
      </c>
      <c r="P24" s="616">
        <f t="shared" si="12"/>
        <v>0</v>
      </c>
      <c r="Q24" s="616">
        <f t="shared" si="12"/>
        <v>292172</v>
      </c>
      <c r="R24" s="616">
        <f t="shared" si="12"/>
        <v>46800</v>
      </c>
      <c r="S24" s="616">
        <f t="shared" si="12"/>
        <v>0</v>
      </c>
      <c r="T24" s="616">
        <f t="shared" si="12"/>
        <v>245372</v>
      </c>
      <c r="U24" s="616">
        <f t="shared" si="12"/>
        <v>0</v>
      </c>
      <c r="V24" s="616">
        <f t="shared" si="12"/>
        <v>0</v>
      </c>
      <c r="W24" s="616">
        <f t="shared" si="12"/>
        <v>0</v>
      </c>
      <c r="X24" s="238"/>
      <c r="Y24" s="297"/>
      <c r="Z24" s="297"/>
      <c r="AA24" s="598"/>
      <c r="AB24" s="598"/>
      <c r="AC24" s="598"/>
    </row>
    <row r="25" spans="1:29" s="354" customFormat="1" ht="41.45" customHeight="1">
      <c r="A25" s="237" t="s">
        <v>97</v>
      </c>
      <c r="B25" s="610" t="s">
        <v>911</v>
      </c>
      <c r="C25" s="294"/>
      <c r="D25" s="352"/>
      <c r="E25" s="352"/>
      <c r="F25" s="615"/>
      <c r="G25" s="295">
        <f>G26</f>
        <v>39000</v>
      </c>
      <c r="H25" s="295">
        <f t="shared" ref="H25:W25" si="13">H26</f>
        <v>0</v>
      </c>
      <c r="I25" s="295">
        <f t="shared" si="13"/>
        <v>0</v>
      </c>
      <c r="J25" s="295">
        <f t="shared" si="13"/>
        <v>39000</v>
      </c>
      <c r="K25" s="295">
        <f t="shared" si="13"/>
        <v>0</v>
      </c>
      <c r="L25" s="295">
        <f t="shared" si="13"/>
        <v>2000</v>
      </c>
      <c r="M25" s="295">
        <f t="shared" si="13"/>
        <v>0</v>
      </c>
      <c r="N25" s="295">
        <f t="shared" si="13"/>
        <v>0</v>
      </c>
      <c r="O25" s="295">
        <f t="shared" si="13"/>
        <v>2000</v>
      </c>
      <c r="P25" s="295">
        <f t="shared" si="13"/>
        <v>0</v>
      </c>
      <c r="Q25" s="295">
        <f t="shared" si="13"/>
        <v>20000</v>
      </c>
      <c r="R25" s="295">
        <f t="shared" si="13"/>
        <v>10000</v>
      </c>
      <c r="S25" s="295">
        <f t="shared" si="13"/>
        <v>0</v>
      </c>
      <c r="T25" s="295">
        <f t="shared" si="13"/>
        <v>10000</v>
      </c>
      <c r="U25" s="295">
        <f t="shared" si="13"/>
        <v>0</v>
      </c>
      <c r="V25" s="295">
        <f t="shared" si="13"/>
        <v>0</v>
      </c>
      <c r="W25" s="295">
        <f t="shared" si="13"/>
        <v>0</v>
      </c>
      <c r="X25" s="260"/>
      <c r="Y25" s="297"/>
      <c r="Z25" s="297"/>
      <c r="AA25" s="598"/>
      <c r="AB25" s="598"/>
      <c r="AC25" s="598"/>
    </row>
    <row r="26" spans="1:29" s="354" customFormat="1" ht="41.45" customHeight="1">
      <c r="A26" s="237"/>
      <c r="B26" s="606" t="s">
        <v>965</v>
      </c>
      <c r="C26" s="607" t="s">
        <v>897</v>
      </c>
      <c r="D26" s="352"/>
      <c r="E26" s="352"/>
      <c r="F26" s="608" t="s">
        <v>966</v>
      </c>
      <c r="G26" s="257">
        <f>SUM(H26:K26)</f>
        <v>39000</v>
      </c>
      <c r="H26" s="616"/>
      <c r="I26" s="616"/>
      <c r="J26" s="609">
        <v>39000</v>
      </c>
      <c r="K26" s="616"/>
      <c r="L26" s="181">
        <f>SUM(M26:P26)</f>
        <v>2000</v>
      </c>
      <c r="M26" s="181"/>
      <c r="N26" s="616"/>
      <c r="O26" s="609">
        <v>2000</v>
      </c>
      <c r="P26" s="616"/>
      <c r="Q26" s="181">
        <f>SUM(R26:W26)</f>
        <v>20000</v>
      </c>
      <c r="R26" s="609">
        <v>10000</v>
      </c>
      <c r="S26" s="616"/>
      <c r="T26" s="609">
        <v>10000</v>
      </c>
      <c r="U26" s="616"/>
      <c r="V26" s="616"/>
      <c r="W26" s="616"/>
      <c r="X26" s="608" t="s">
        <v>911</v>
      </c>
      <c r="Y26" s="297"/>
      <c r="Z26" s="297"/>
      <c r="AA26" s="598" t="s">
        <v>905</v>
      </c>
      <c r="AB26" s="598"/>
      <c r="AC26" s="598"/>
    </row>
    <row r="27" spans="1:29" s="354" customFormat="1" ht="41.45" customHeight="1">
      <c r="A27" s="237" t="s">
        <v>49</v>
      </c>
      <c r="B27" s="614" t="s">
        <v>921</v>
      </c>
      <c r="C27" s="294"/>
      <c r="D27" s="352"/>
      <c r="E27" s="352"/>
      <c r="F27" s="615"/>
      <c r="G27" s="295">
        <f t="shared" ref="G27:U27" si="14">SUM(G28:G38)</f>
        <v>508650</v>
      </c>
      <c r="H27" s="295">
        <f t="shared" si="14"/>
        <v>0</v>
      </c>
      <c r="I27" s="295">
        <f t="shared" si="14"/>
        <v>0</v>
      </c>
      <c r="J27" s="295">
        <f t="shared" si="14"/>
        <v>508650</v>
      </c>
      <c r="K27" s="295">
        <f t="shared" si="14"/>
        <v>0</v>
      </c>
      <c r="L27" s="295">
        <f t="shared" si="14"/>
        <v>367085</v>
      </c>
      <c r="M27" s="295">
        <f t="shared" si="14"/>
        <v>0</v>
      </c>
      <c r="N27" s="295">
        <f t="shared" si="14"/>
        <v>0</v>
      </c>
      <c r="O27" s="295">
        <f t="shared" si="14"/>
        <v>367085</v>
      </c>
      <c r="P27" s="295">
        <f t="shared" si="14"/>
        <v>0</v>
      </c>
      <c r="Q27" s="295">
        <f t="shared" si="14"/>
        <v>95588</v>
      </c>
      <c r="R27" s="295">
        <f t="shared" si="14"/>
        <v>0</v>
      </c>
      <c r="S27" s="295">
        <f t="shared" si="14"/>
        <v>0</v>
      </c>
      <c r="T27" s="295">
        <f t="shared" si="14"/>
        <v>95588</v>
      </c>
      <c r="U27" s="295">
        <f t="shared" si="14"/>
        <v>0</v>
      </c>
      <c r="V27" s="295">
        <f>SUM(V28:V37)</f>
        <v>0</v>
      </c>
      <c r="W27" s="295"/>
      <c r="X27" s="260"/>
      <c r="Y27" s="297"/>
      <c r="Z27" s="297"/>
      <c r="AA27" s="598"/>
      <c r="AB27" s="598"/>
      <c r="AC27" s="598"/>
    </row>
    <row r="28" spans="1:29" s="265" customFormat="1" ht="66" customHeight="1">
      <c r="A28" s="273"/>
      <c r="B28" s="606" t="s">
        <v>967</v>
      </c>
      <c r="C28" s="607" t="s">
        <v>968</v>
      </c>
      <c r="D28" s="252"/>
      <c r="E28" s="252"/>
      <c r="F28" s="608" t="s">
        <v>969</v>
      </c>
      <c r="G28" s="257">
        <f>SUM(H28:K28)</f>
        <v>17000</v>
      </c>
      <c r="H28" s="253"/>
      <c r="I28" s="253"/>
      <c r="J28" s="609">
        <v>17000</v>
      </c>
      <c r="K28" s="253"/>
      <c r="L28" s="181">
        <f>SUM(M28:P28)</f>
        <v>15000</v>
      </c>
      <c r="M28" s="253"/>
      <c r="N28" s="253"/>
      <c r="O28" s="609">
        <v>15000</v>
      </c>
      <c r="P28" s="253"/>
      <c r="Q28" s="181">
        <f>SUM(R28:W28)</f>
        <v>800</v>
      </c>
      <c r="R28" s="253"/>
      <c r="S28" s="253"/>
      <c r="T28" s="609">
        <v>800</v>
      </c>
      <c r="U28" s="253"/>
      <c r="V28" s="253"/>
      <c r="W28" s="253"/>
      <c r="X28" s="255" t="s">
        <v>921</v>
      </c>
      <c r="Y28" s="277"/>
      <c r="Z28" s="277"/>
      <c r="AA28" s="601" t="s">
        <v>905</v>
      </c>
      <c r="AB28" s="601"/>
      <c r="AC28" s="601"/>
    </row>
    <row r="29" spans="1:29" s="265" customFormat="1" ht="66" customHeight="1">
      <c r="A29" s="273"/>
      <c r="B29" s="606" t="s">
        <v>970</v>
      </c>
      <c r="C29" s="607" t="s">
        <v>968</v>
      </c>
      <c r="D29" s="252"/>
      <c r="E29" s="252"/>
      <c r="F29" s="608" t="s">
        <v>971</v>
      </c>
      <c r="G29" s="257">
        <f>SUM(H29:K29)</f>
        <v>100000</v>
      </c>
      <c r="H29" s="253"/>
      <c r="I29" s="253"/>
      <c r="J29" s="609">
        <v>100000</v>
      </c>
      <c r="K29" s="253"/>
      <c r="L29" s="181">
        <f>SUM(M29:P29)</f>
        <v>90576</v>
      </c>
      <c r="M29" s="253"/>
      <c r="N29" s="253"/>
      <c r="O29" s="609">
        <v>90576</v>
      </c>
      <c r="P29" s="253"/>
      <c r="Q29" s="181">
        <f>SUM(R29:W29)</f>
        <v>2000</v>
      </c>
      <c r="R29" s="253"/>
      <c r="S29" s="253"/>
      <c r="T29" s="609">
        <v>2000</v>
      </c>
      <c r="U29" s="253"/>
      <c r="V29" s="253"/>
      <c r="W29" s="253"/>
      <c r="X29" s="255" t="s">
        <v>921</v>
      </c>
      <c r="Y29" s="277"/>
      <c r="Z29" s="277"/>
      <c r="AA29" s="601" t="s">
        <v>905</v>
      </c>
      <c r="AB29" s="601"/>
      <c r="AC29" s="601"/>
    </row>
    <row r="30" spans="1:29" s="265" customFormat="1" ht="90" customHeight="1">
      <c r="A30" s="273"/>
      <c r="B30" s="606" t="s">
        <v>972</v>
      </c>
      <c r="C30" s="607" t="s">
        <v>973</v>
      </c>
      <c r="D30" s="252"/>
      <c r="E30" s="252"/>
      <c r="F30" s="608" t="s">
        <v>974</v>
      </c>
      <c r="G30" s="257">
        <f t="shared" ref="G30:G38" si="15">SUM(H30:K30)</f>
        <v>120900</v>
      </c>
      <c r="H30" s="253"/>
      <c r="I30" s="253"/>
      <c r="J30" s="609">
        <v>120900</v>
      </c>
      <c r="K30" s="253"/>
      <c r="L30" s="181">
        <f t="shared" ref="L30:L38" si="16">SUM(M30:P30)</f>
        <v>112350</v>
      </c>
      <c r="M30" s="253"/>
      <c r="N30" s="253"/>
      <c r="O30" s="609">
        <v>112350</v>
      </c>
      <c r="P30" s="253"/>
      <c r="Q30" s="181">
        <f t="shared" ref="Q30:Q38" si="17">SUM(R30:W30)</f>
        <v>5000</v>
      </c>
      <c r="R30" s="253"/>
      <c r="S30" s="253"/>
      <c r="T30" s="609">
        <v>5000</v>
      </c>
      <c r="U30" s="253"/>
      <c r="V30" s="253"/>
      <c r="W30" s="253"/>
      <c r="X30" s="255" t="s">
        <v>921</v>
      </c>
      <c r="Y30" s="277"/>
      <c r="Z30" s="277"/>
      <c r="AA30" s="601" t="s">
        <v>905</v>
      </c>
      <c r="AB30" s="601"/>
      <c r="AC30" s="601"/>
    </row>
    <row r="31" spans="1:29" s="265" customFormat="1" ht="60.75" customHeight="1">
      <c r="A31" s="273"/>
      <c r="B31" s="606" t="s">
        <v>975</v>
      </c>
      <c r="C31" s="607" t="s">
        <v>976</v>
      </c>
      <c r="D31" s="252"/>
      <c r="E31" s="252"/>
      <c r="F31" s="608" t="s">
        <v>977</v>
      </c>
      <c r="G31" s="257">
        <f t="shared" si="15"/>
        <v>24000</v>
      </c>
      <c r="H31" s="253"/>
      <c r="I31" s="253"/>
      <c r="J31" s="609">
        <v>24000</v>
      </c>
      <c r="K31" s="253"/>
      <c r="L31" s="181">
        <f t="shared" si="16"/>
        <v>18100</v>
      </c>
      <c r="M31" s="253"/>
      <c r="N31" s="253"/>
      <c r="O31" s="609">
        <v>18100</v>
      </c>
      <c r="P31" s="253"/>
      <c r="Q31" s="181">
        <f t="shared" si="17"/>
        <v>5000</v>
      </c>
      <c r="R31" s="253"/>
      <c r="S31" s="253"/>
      <c r="T31" s="609">
        <v>5000</v>
      </c>
      <c r="U31" s="253"/>
      <c r="V31" s="253"/>
      <c r="W31" s="253"/>
      <c r="X31" s="255" t="s">
        <v>921</v>
      </c>
      <c r="Y31" s="277"/>
      <c r="Z31" s="277"/>
      <c r="AA31" s="601" t="s">
        <v>905</v>
      </c>
      <c r="AB31" s="601"/>
      <c r="AC31" s="601"/>
    </row>
    <row r="32" spans="1:29" s="265" customFormat="1" ht="41.45" customHeight="1">
      <c r="A32" s="273"/>
      <c r="B32" s="606" t="s">
        <v>978</v>
      </c>
      <c r="C32" s="607" t="s">
        <v>954</v>
      </c>
      <c r="D32" s="252"/>
      <c r="E32" s="252"/>
      <c r="F32" s="608" t="s">
        <v>979</v>
      </c>
      <c r="G32" s="257">
        <f t="shared" si="15"/>
        <v>20500</v>
      </c>
      <c r="H32" s="253"/>
      <c r="I32" s="253"/>
      <c r="J32" s="609">
        <v>20500</v>
      </c>
      <c r="K32" s="253"/>
      <c r="L32" s="181">
        <f t="shared" si="16"/>
        <v>18800</v>
      </c>
      <c r="M32" s="253"/>
      <c r="N32" s="253"/>
      <c r="O32" s="609">
        <v>18800</v>
      </c>
      <c r="P32" s="253"/>
      <c r="Q32" s="181">
        <f t="shared" si="17"/>
        <v>1000</v>
      </c>
      <c r="R32" s="253"/>
      <c r="S32" s="253"/>
      <c r="T32" s="609">
        <v>1000</v>
      </c>
      <c r="U32" s="253"/>
      <c r="V32" s="253"/>
      <c r="W32" s="253"/>
      <c r="X32" s="255" t="s">
        <v>921</v>
      </c>
      <c r="Y32" s="277"/>
      <c r="Z32" s="277"/>
      <c r="AA32" s="601" t="s">
        <v>905</v>
      </c>
      <c r="AB32" s="601"/>
      <c r="AC32" s="601"/>
    </row>
    <row r="33" spans="1:29" s="265" customFormat="1" ht="53.25" customHeight="1">
      <c r="A33" s="273"/>
      <c r="B33" s="606" t="s">
        <v>980</v>
      </c>
      <c r="C33" s="607" t="s">
        <v>836</v>
      </c>
      <c r="D33" s="252"/>
      <c r="E33" s="252"/>
      <c r="F33" s="608" t="s">
        <v>981</v>
      </c>
      <c r="G33" s="257">
        <f t="shared" si="15"/>
        <v>18500</v>
      </c>
      <c r="H33" s="253"/>
      <c r="I33" s="253"/>
      <c r="J33" s="609">
        <v>18500</v>
      </c>
      <c r="K33" s="253"/>
      <c r="L33" s="181">
        <f t="shared" si="16"/>
        <v>7000</v>
      </c>
      <c r="M33" s="253"/>
      <c r="N33" s="253"/>
      <c r="O33" s="609">
        <v>7000</v>
      </c>
      <c r="P33" s="253"/>
      <c r="Q33" s="181">
        <f t="shared" si="17"/>
        <v>9000</v>
      </c>
      <c r="R33" s="253"/>
      <c r="S33" s="253"/>
      <c r="T33" s="609">
        <v>9000</v>
      </c>
      <c r="U33" s="253"/>
      <c r="V33" s="253"/>
      <c r="W33" s="253"/>
      <c r="X33" s="255" t="s">
        <v>921</v>
      </c>
      <c r="Y33" s="277"/>
      <c r="Z33" s="277"/>
      <c r="AA33" s="601" t="s">
        <v>905</v>
      </c>
      <c r="AB33" s="601"/>
      <c r="AC33" s="601"/>
    </row>
    <row r="34" spans="1:29" s="265" customFormat="1" ht="53.25" customHeight="1">
      <c r="A34" s="273"/>
      <c r="B34" s="606" t="s">
        <v>982</v>
      </c>
      <c r="C34" s="607" t="s">
        <v>837</v>
      </c>
      <c r="D34" s="252"/>
      <c r="E34" s="252"/>
      <c r="F34" s="608" t="s">
        <v>983</v>
      </c>
      <c r="G34" s="257">
        <f t="shared" si="15"/>
        <v>46050</v>
      </c>
      <c r="H34" s="253"/>
      <c r="I34" s="253"/>
      <c r="J34" s="609">
        <v>46050</v>
      </c>
      <c r="K34" s="253"/>
      <c r="L34" s="181">
        <f t="shared" si="16"/>
        <v>41923</v>
      </c>
      <c r="M34" s="253"/>
      <c r="N34" s="253"/>
      <c r="O34" s="609">
        <v>41923</v>
      </c>
      <c r="P34" s="253"/>
      <c r="Q34" s="181">
        <f t="shared" si="17"/>
        <v>2000</v>
      </c>
      <c r="R34" s="253"/>
      <c r="S34" s="253"/>
      <c r="T34" s="609">
        <v>2000</v>
      </c>
      <c r="U34" s="253"/>
      <c r="V34" s="253"/>
      <c r="W34" s="253"/>
      <c r="X34" s="255" t="s">
        <v>921</v>
      </c>
      <c r="Y34" s="277"/>
      <c r="Z34" s="277"/>
      <c r="AA34" s="601" t="s">
        <v>905</v>
      </c>
      <c r="AB34" s="601"/>
      <c r="AC34" s="601"/>
    </row>
    <row r="35" spans="1:29" s="265" customFormat="1" ht="53.25" customHeight="1">
      <c r="A35" s="273"/>
      <c r="B35" s="606" t="s">
        <v>984</v>
      </c>
      <c r="C35" s="607" t="s">
        <v>985</v>
      </c>
      <c r="D35" s="607" t="s">
        <v>986</v>
      </c>
      <c r="E35" s="608" t="s">
        <v>987</v>
      </c>
      <c r="F35" s="608" t="s">
        <v>987</v>
      </c>
      <c r="G35" s="257">
        <f t="shared" si="15"/>
        <v>18000</v>
      </c>
      <c r="H35" s="253"/>
      <c r="I35" s="253"/>
      <c r="J35" s="609">
        <v>18000</v>
      </c>
      <c r="K35" s="253"/>
      <c r="L35" s="181">
        <f t="shared" si="16"/>
        <v>11029</v>
      </c>
      <c r="M35" s="253"/>
      <c r="N35" s="253"/>
      <c r="O35" s="609">
        <v>11029</v>
      </c>
      <c r="P35" s="253"/>
      <c r="Q35" s="181">
        <f t="shared" si="17"/>
        <v>5000</v>
      </c>
      <c r="R35" s="253"/>
      <c r="S35" s="253"/>
      <c r="T35" s="609">
        <v>5000</v>
      </c>
      <c r="U35" s="253"/>
      <c r="V35" s="253"/>
      <c r="W35" s="253"/>
      <c r="X35" s="255" t="s">
        <v>921</v>
      </c>
      <c r="Y35" s="277"/>
      <c r="Z35" s="277"/>
      <c r="AA35" s="601" t="s">
        <v>905</v>
      </c>
      <c r="AB35" s="601"/>
      <c r="AC35" s="601"/>
    </row>
    <row r="36" spans="1:29" s="265" customFormat="1" ht="94.5" customHeight="1">
      <c r="A36" s="273"/>
      <c r="B36" s="606" t="s">
        <v>988</v>
      </c>
      <c r="C36" s="607" t="s">
        <v>836</v>
      </c>
      <c r="D36" s="607" t="s">
        <v>989</v>
      </c>
      <c r="E36" s="608" t="s">
        <v>990</v>
      </c>
      <c r="F36" s="608" t="s">
        <v>990</v>
      </c>
      <c r="G36" s="257">
        <f t="shared" si="15"/>
        <v>26500</v>
      </c>
      <c r="H36" s="253"/>
      <c r="I36" s="253"/>
      <c r="J36" s="609">
        <v>26500</v>
      </c>
      <c r="K36" s="253"/>
      <c r="L36" s="181">
        <f t="shared" si="16"/>
        <v>20000</v>
      </c>
      <c r="M36" s="253"/>
      <c r="N36" s="253"/>
      <c r="O36" s="609">
        <v>20000</v>
      </c>
      <c r="P36" s="253"/>
      <c r="Q36" s="181">
        <f t="shared" si="17"/>
        <v>3788</v>
      </c>
      <c r="R36" s="253"/>
      <c r="S36" s="253"/>
      <c r="T36" s="609">
        <v>3788</v>
      </c>
      <c r="U36" s="253"/>
      <c r="V36" s="253"/>
      <c r="W36" s="253"/>
      <c r="X36" s="255" t="s">
        <v>921</v>
      </c>
      <c r="Y36" s="277"/>
      <c r="Z36" s="277"/>
      <c r="AA36" s="601"/>
      <c r="AB36" s="601"/>
      <c r="AC36" s="601"/>
    </row>
    <row r="37" spans="1:29" s="265" customFormat="1" ht="53.25" customHeight="1">
      <c r="A37" s="273"/>
      <c r="B37" s="606" t="s">
        <v>991</v>
      </c>
      <c r="C37" s="607" t="s">
        <v>836</v>
      </c>
      <c r="D37" s="607"/>
      <c r="E37" s="608"/>
      <c r="F37" s="608" t="s">
        <v>992</v>
      </c>
      <c r="G37" s="257">
        <f t="shared" si="15"/>
        <v>47200</v>
      </c>
      <c r="H37" s="253"/>
      <c r="I37" s="253"/>
      <c r="J37" s="609">
        <v>47200</v>
      </c>
      <c r="K37" s="253"/>
      <c r="L37" s="181">
        <f t="shared" si="16"/>
        <v>13100</v>
      </c>
      <c r="M37" s="253"/>
      <c r="N37" s="253"/>
      <c r="O37" s="609">
        <v>13100</v>
      </c>
      <c r="P37" s="253"/>
      <c r="Q37" s="181">
        <f t="shared" si="17"/>
        <v>30000</v>
      </c>
      <c r="R37" s="253"/>
      <c r="S37" s="253"/>
      <c r="T37" s="609">
        <v>30000</v>
      </c>
      <c r="U37" s="253"/>
      <c r="V37" s="253"/>
      <c r="W37" s="253"/>
      <c r="X37" s="255" t="s">
        <v>921</v>
      </c>
      <c r="Y37" s="277"/>
      <c r="Z37" s="277"/>
      <c r="AA37" s="601" t="s">
        <v>905</v>
      </c>
      <c r="AB37" s="601"/>
      <c r="AC37" s="601"/>
    </row>
    <row r="38" spans="1:29" s="265" customFormat="1" ht="53.25" customHeight="1">
      <c r="A38" s="273"/>
      <c r="B38" s="606" t="s">
        <v>993</v>
      </c>
      <c r="C38" s="607" t="s">
        <v>994</v>
      </c>
      <c r="D38" s="607"/>
      <c r="E38" s="608"/>
      <c r="F38" s="608" t="s">
        <v>995</v>
      </c>
      <c r="G38" s="257">
        <f t="shared" si="15"/>
        <v>70000</v>
      </c>
      <c r="H38" s="253"/>
      <c r="I38" s="253"/>
      <c r="J38" s="609">
        <v>70000</v>
      </c>
      <c r="K38" s="253"/>
      <c r="L38" s="181">
        <f t="shared" si="16"/>
        <v>19207</v>
      </c>
      <c r="M38" s="253"/>
      <c r="N38" s="253"/>
      <c r="O38" s="609">
        <v>19207</v>
      </c>
      <c r="P38" s="253"/>
      <c r="Q38" s="181">
        <f t="shared" si="17"/>
        <v>32000</v>
      </c>
      <c r="R38" s="253"/>
      <c r="S38" s="253"/>
      <c r="T38" s="609">
        <v>32000</v>
      </c>
      <c r="U38" s="253"/>
      <c r="V38" s="253"/>
      <c r="W38" s="253"/>
      <c r="X38" s="255" t="s">
        <v>921</v>
      </c>
      <c r="Y38" s="277"/>
      <c r="Z38" s="277"/>
      <c r="AA38" s="601" t="s">
        <v>905</v>
      </c>
      <c r="AB38" s="601"/>
      <c r="AC38" s="601"/>
    </row>
    <row r="39" spans="1:29" ht="51.6" customHeight="1">
      <c r="A39" s="266" t="s">
        <v>22</v>
      </c>
      <c r="B39" s="610" t="s">
        <v>926</v>
      </c>
      <c r="C39" s="238"/>
      <c r="D39" s="239"/>
      <c r="E39" s="239"/>
      <c r="F39" s="256"/>
      <c r="G39" s="295">
        <f>SUM(G40:G42)</f>
        <v>19014</v>
      </c>
      <c r="H39" s="295">
        <f t="shared" ref="H39:W40" si="18">SUM(H40:H42)</f>
        <v>0</v>
      </c>
      <c r="I39" s="295">
        <f t="shared" si="18"/>
        <v>0</v>
      </c>
      <c r="J39" s="295">
        <f t="shared" si="18"/>
        <v>19014</v>
      </c>
      <c r="K39" s="295">
        <f t="shared" si="18"/>
        <v>0</v>
      </c>
      <c r="L39" s="295">
        <f t="shared" si="18"/>
        <v>16830</v>
      </c>
      <c r="M39" s="295">
        <f t="shared" si="18"/>
        <v>0</v>
      </c>
      <c r="N39" s="295">
        <f t="shared" si="18"/>
        <v>0</v>
      </c>
      <c r="O39" s="295">
        <f t="shared" si="18"/>
        <v>16830</v>
      </c>
      <c r="P39" s="295">
        <f t="shared" si="18"/>
        <v>0</v>
      </c>
      <c r="Q39" s="295">
        <f t="shared" si="18"/>
        <v>2184</v>
      </c>
      <c r="R39" s="295">
        <f t="shared" si="18"/>
        <v>0</v>
      </c>
      <c r="S39" s="295">
        <f t="shared" si="18"/>
        <v>0</v>
      </c>
      <c r="T39" s="295">
        <f t="shared" si="18"/>
        <v>2184</v>
      </c>
      <c r="U39" s="295">
        <f t="shared" si="18"/>
        <v>0</v>
      </c>
      <c r="V39" s="295">
        <f t="shared" si="18"/>
        <v>0</v>
      </c>
      <c r="W39" s="295">
        <f t="shared" si="18"/>
        <v>0</v>
      </c>
      <c r="X39" s="260"/>
      <c r="Y39" s="232"/>
      <c r="Z39" s="232"/>
    </row>
    <row r="40" spans="1:29" s="623" customFormat="1" ht="59.25" customHeight="1">
      <c r="A40" s="617"/>
      <c r="B40" s="618" t="s">
        <v>996</v>
      </c>
      <c r="C40" s="619" t="s">
        <v>837</v>
      </c>
      <c r="D40" s="321"/>
      <c r="E40" s="321"/>
      <c r="F40" s="256" t="s">
        <v>997</v>
      </c>
      <c r="G40" s="197">
        <f>SUM(H40:K40)</f>
        <v>7061</v>
      </c>
      <c r="H40" s="197"/>
      <c r="I40" s="197"/>
      <c r="J40" s="620">
        <v>7061</v>
      </c>
      <c r="K40" s="197">
        <f t="shared" si="18"/>
        <v>0</v>
      </c>
      <c r="L40" s="197">
        <f>SUM(M40:P40)</f>
        <v>6530</v>
      </c>
      <c r="M40" s="197">
        <f t="shared" si="18"/>
        <v>0</v>
      </c>
      <c r="N40" s="197">
        <f t="shared" si="18"/>
        <v>0</v>
      </c>
      <c r="O40" s="620">
        <v>6530</v>
      </c>
      <c r="P40" s="197">
        <f t="shared" si="18"/>
        <v>0</v>
      </c>
      <c r="Q40" s="197">
        <f>SUM(R40:W40)</f>
        <v>531</v>
      </c>
      <c r="R40" s="197"/>
      <c r="S40" s="197">
        <f t="shared" si="18"/>
        <v>0</v>
      </c>
      <c r="T40" s="609">
        <v>531</v>
      </c>
      <c r="U40" s="197">
        <f t="shared" si="18"/>
        <v>0</v>
      </c>
      <c r="V40" s="197">
        <f t="shared" si="18"/>
        <v>0</v>
      </c>
      <c r="W40" s="197">
        <f t="shared" si="18"/>
        <v>0</v>
      </c>
      <c r="X40" s="621" t="s">
        <v>926</v>
      </c>
      <c r="Y40" s="622">
        <f t="shared" ref="Y40:Y42" si="19">N40+O40+P40</f>
        <v>6530</v>
      </c>
      <c r="Z40" s="622">
        <f t="shared" ref="Z40:Z42" si="20">L40-Y40</f>
        <v>0</v>
      </c>
      <c r="AA40" s="597"/>
      <c r="AB40" s="597"/>
      <c r="AC40" s="597"/>
    </row>
    <row r="41" spans="1:29" s="281" customFormat="1" ht="59.25" customHeight="1">
      <c r="A41" s="238"/>
      <c r="B41" s="606" t="s">
        <v>998</v>
      </c>
      <c r="C41" s="607" t="s">
        <v>837</v>
      </c>
      <c r="D41" s="254"/>
      <c r="E41" s="254"/>
      <c r="F41" s="608" t="s">
        <v>999</v>
      </c>
      <c r="G41" s="197">
        <f t="shared" ref="G41:G42" si="21">SUM(H41:K41)</f>
        <v>6348</v>
      </c>
      <c r="H41" s="197"/>
      <c r="I41" s="197"/>
      <c r="J41" s="609">
        <v>6348</v>
      </c>
      <c r="K41" s="197"/>
      <c r="L41" s="197">
        <f t="shared" ref="L41:L42" si="22">SUM(M41:P41)</f>
        <v>5800</v>
      </c>
      <c r="M41" s="197"/>
      <c r="N41" s="197"/>
      <c r="O41" s="609">
        <v>5800</v>
      </c>
      <c r="P41" s="197"/>
      <c r="Q41" s="197">
        <f t="shared" ref="Q41:Q42" si="23">SUM(R41:W41)</f>
        <v>548</v>
      </c>
      <c r="R41" s="197"/>
      <c r="S41" s="197"/>
      <c r="T41" s="609">
        <v>548</v>
      </c>
      <c r="U41" s="197"/>
      <c r="V41" s="197"/>
      <c r="W41" s="197"/>
      <c r="X41" s="621" t="s">
        <v>926</v>
      </c>
      <c r="Y41" s="232">
        <f t="shared" si="19"/>
        <v>5800</v>
      </c>
      <c r="Z41" s="232">
        <f t="shared" si="20"/>
        <v>0</v>
      </c>
      <c r="AA41" s="596"/>
      <c r="AB41" s="596"/>
      <c r="AC41" s="596"/>
    </row>
    <row r="42" spans="1:29" s="281" customFormat="1" ht="59.25" customHeight="1">
      <c r="A42" s="238"/>
      <c r="B42" s="606" t="s">
        <v>1000</v>
      </c>
      <c r="C42" s="607" t="s">
        <v>837</v>
      </c>
      <c r="D42" s="254"/>
      <c r="E42" s="254"/>
      <c r="F42" s="608" t="s">
        <v>1001</v>
      </c>
      <c r="G42" s="197">
        <f t="shared" si="21"/>
        <v>5605</v>
      </c>
      <c r="H42" s="197"/>
      <c r="I42" s="197"/>
      <c r="J42" s="609">
        <v>5605</v>
      </c>
      <c r="K42" s="197"/>
      <c r="L42" s="197">
        <f t="shared" si="22"/>
        <v>4500</v>
      </c>
      <c r="M42" s="197"/>
      <c r="N42" s="197"/>
      <c r="O42" s="609">
        <v>4500</v>
      </c>
      <c r="P42" s="197"/>
      <c r="Q42" s="197">
        <f t="shared" si="23"/>
        <v>1105</v>
      </c>
      <c r="R42" s="197"/>
      <c r="S42" s="197"/>
      <c r="T42" s="609">
        <v>1105</v>
      </c>
      <c r="U42" s="197"/>
      <c r="V42" s="197"/>
      <c r="W42" s="197"/>
      <c r="X42" s="621" t="s">
        <v>926</v>
      </c>
      <c r="Y42" s="232">
        <f t="shared" si="19"/>
        <v>4500</v>
      </c>
      <c r="Z42" s="232">
        <f t="shared" si="20"/>
        <v>0</v>
      </c>
      <c r="AA42" s="596"/>
      <c r="AB42" s="596"/>
      <c r="AC42" s="596"/>
    </row>
    <row r="43" spans="1:29" s="298" customFormat="1" ht="54" customHeight="1">
      <c r="A43" s="294" t="s">
        <v>23</v>
      </c>
      <c r="B43" s="610" t="s">
        <v>927</v>
      </c>
      <c r="C43" s="611"/>
      <c r="D43" s="557"/>
      <c r="E43" s="557"/>
      <c r="F43" s="612"/>
      <c r="G43" s="295">
        <f>SUM(G44:G48)</f>
        <v>87990</v>
      </c>
      <c r="H43" s="295">
        <f t="shared" ref="H43:W43" si="24">SUM(H44:H48)</f>
        <v>0</v>
      </c>
      <c r="I43" s="295">
        <f t="shared" si="24"/>
        <v>0</v>
      </c>
      <c r="J43" s="295">
        <f t="shared" si="24"/>
        <v>87990</v>
      </c>
      <c r="K43" s="295">
        <f t="shared" si="24"/>
        <v>0</v>
      </c>
      <c r="L43" s="295">
        <f t="shared" si="24"/>
        <v>42799</v>
      </c>
      <c r="M43" s="295">
        <f t="shared" si="24"/>
        <v>0</v>
      </c>
      <c r="N43" s="295">
        <f t="shared" si="24"/>
        <v>0</v>
      </c>
      <c r="O43" s="295">
        <f t="shared" si="24"/>
        <v>42799</v>
      </c>
      <c r="P43" s="295">
        <f t="shared" si="24"/>
        <v>0</v>
      </c>
      <c r="Q43" s="295">
        <f t="shared" si="24"/>
        <v>46000</v>
      </c>
      <c r="R43" s="295">
        <f t="shared" si="24"/>
        <v>36000</v>
      </c>
      <c r="S43" s="295">
        <f t="shared" si="24"/>
        <v>0</v>
      </c>
      <c r="T43" s="295">
        <f>SUM(T44:T48)</f>
        <v>10000</v>
      </c>
      <c r="U43" s="295">
        <f t="shared" si="24"/>
        <v>0</v>
      </c>
      <c r="V43" s="295">
        <f t="shared" si="24"/>
        <v>0</v>
      </c>
      <c r="W43" s="295">
        <f t="shared" si="24"/>
        <v>0</v>
      </c>
      <c r="X43" s="294"/>
      <c r="Y43" s="297"/>
      <c r="Z43" s="297"/>
      <c r="AA43" s="597"/>
      <c r="AB43" s="597"/>
      <c r="AC43" s="597"/>
    </row>
    <row r="44" spans="1:29" s="292" customFormat="1" ht="56.25" customHeight="1">
      <c r="A44" s="282"/>
      <c r="B44" s="606" t="s">
        <v>1002</v>
      </c>
      <c r="C44" s="607" t="s">
        <v>869</v>
      </c>
      <c r="D44" s="284"/>
      <c r="E44" s="284"/>
      <c r="F44" s="608" t="s">
        <v>1003</v>
      </c>
      <c r="G44" s="197">
        <f>SUM(H44:K44)</f>
        <v>14990</v>
      </c>
      <c r="H44" s="287"/>
      <c r="I44" s="287"/>
      <c r="J44" s="609">
        <v>14990</v>
      </c>
      <c r="K44" s="287"/>
      <c r="L44" s="197">
        <f>SUM(M44:P44)</f>
        <v>7500</v>
      </c>
      <c r="M44" s="287"/>
      <c r="N44" s="287"/>
      <c r="O44" s="609">
        <v>7500</v>
      </c>
      <c r="P44" s="287"/>
      <c r="Q44" s="197">
        <f t="shared" ref="Q44:Q57" si="25">SUM(R44:W44)</f>
        <v>7000</v>
      </c>
      <c r="R44" s="609">
        <v>7000</v>
      </c>
      <c r="S44" s="287"/>
      <c r="T44" s="287"/>
      <c r="U44" s="287"/>
      <c r="V44" s="287"/>
      <c r="W44" s="287"/>
      <c r="X44" s="621" t="s">
        <v>927</v>
      </c>
      <c r="Y44" s="289"/>
      <c r="Z44" s="289"/>
      <c r="AA44" s="624"/>
      <c r="AB44" s="624"/>
      <c r="AC44" s="624"/>
    </row>
    <row r="45" spans="1:29" s="265" customFormat="1" ht="41.45" customHeight="1">
      <c r="A45" s="273"/>
      <c r="B45" s="606" t="s">
        <v>1004</v>
      </c>
      <c r="C45" s="607" t="s">
        <v>869</v>
      </c>
      <c r="D45" s="251"/>
      <c r="E45" s="251"/>
      <c r="F45" s="608" t="s">
        <v>1005</v>
      </c>
      <c r="G45" s="197">
        <f t="shared" ref="G45:G46" si="26">SUM(H45:K45)</f>
        <v>10000</v>
      </c>
      <c r="H45" s="253"/>
      <c r="I45" s="253"/>
      <c r="J45" s="609">
        <v>10000</v>
      </c>
      <c r="K45" s="253"/>
      <c r="L45" s="197">
        <f t="shared" ref="L45:L46" si="27">SUM(M45:P45)</f>
        <v>10263</v>
      </c>
      <c r="M45" s="253"/>
      <c r="N45" s="253"/>
      <c r="O45" s="609">
        <v>10263</v>
      </c>
      <c r="P45" s="253"/>
      <c r="Q45" s="197">
        <f t="shared" si="25"/>
        <v>4000</v>
      </c>
      <c r="R45" s="609">
        <v>4000</v>
      </c>
      <c r="S45" s="253"/>
      <c r="T45" s="253"/>
      <c r="U45" s="253"/>
      <c r="V45" s="253"/>
      <c r="W45" s="253"/>
      <c r="X45" s="621" t="s">
        <v>927</v>
      </c>
      <c r="Y45" s="277"/>
      <c r="Z45" s="277"/>
      <c r="AA45" s="601"/>
      <c r="AB45" s="601"/>
      <c r="AC45" s="601"/>
    </row>
    <row r="46" spans="1:29" s="265" customFormat="1" ht="49.5" customHeight="1">
      <c r="A46" s="282"/>
      <c r="B46" s="606" t="s">
        <v>1006</v>
      </c>
      <c r="C46" s="607" t="s">
        <v>1007</v>
      </c>
      <c r="D46" s="284"/>
      <c r="E46" s="284"/>
      <c r="F46" s="608" t="s">
        <v>1008</v>
      </c>
      <c r="G46" s="197">
        <f t="shared" si="26"/>
        <v>39000</v>
      </c>
      <c r="H46" s="287"/>
      <c r="I46" s="287"/>
      <c r="J46" s="609">
        <v>39000</v>
      </c>
      <c r="K46" s="287"/>
      <c r="L46" s="197">
        <f t="shared" si="27"/>
        <v>12000</v>
      </c>
      <c r="M46" s="287"/>
      <c r="N46" s="287"/>
      <c r="O46" s="609">
        <v>12000</v>
      </c>
      <c r="P46" s="287"/>
      <c r="Q46" s="197">
        <f t="shared" si="25"/>
        <v>25000</v>
      </c>
      <c r="R46" s="609">
        <v>20000</v>
      </c>
      <c r="S46" s="287"/>
      <c r="T46" s="609">
        <v>5000</v>
      </c>
      <c r="U46" s="287"/>
      <c r="V46" s="287"/>
      <c r="W46" s="287"/>
      <c r="X46" s="621" t="s">
        <v>927</v>
      </c>
      <c r="Y46" s="277"/>
      <c r="Z46" s="277"/>
      <c r="AA46" s="601"/>
      <c r="AB46" s="601"/>
      <c r="AC46" s="601"/>
    </row>
    <row r="47" spans="1:29" s="265" customFormat="1" ht="69.75" customHeight="1">
      <c r="A47" s="282"/>
      <c r="B47" s="606" t="s">
        <v>1009</v>
      </c>
      <c r="C47" s="607" t="s">
        <v>859</v>
      </c>
      <c r="D47" s="284"/>
      <c r="E47" s="284"/>
      <c r="F47" s="608" t="s">
        <v>1010</v>
      </c>
      <c r="G47" s="197">
        <f>SUM(H47:K47)</f>
        <v>24000</v>
      </c>
      <c r="H47" s="287"/>
      <c r="I47" s="287"/>
      <c r="J47" s="609">
        <v>24000</v>
      </c>
      <c r="K47" s="287"/>
      <c r="L47" s="197">
        <f>SUM(M47:P47)</f>
        <v>13036</v>
      </c>
      <c r="M47" s="287"/>
      <c r="N47" s="287"/>
      <c r="O47" s="609">
        <v>13036</v>
      </c>
      <c r="P47" s="287"/>
      <c r="Q47" s="197">
        <f t="shared" si="25"/>
        <v>10000</v>
      </c>
      <c r="R47" s="609">
        <v>5000</v>
      </c>
      <c r="S47" s="287"/>
      <c r="T47" s="609">
        <v>5000</v>
      </c>
      <c r="U47" s="287"/>
      <c r="V47" s="287"/>
      <c r="W47" s="287"/>
      <c r="X47" s="621" t="s">
        <v>927</v>
      </c>
      <c r="Y47" s="277"/>
      <c r="Z47" s="277"/>
      <c r="AA47" s="601"/>
      <c r="AB47" s="601"/>
      <c r="AC47" s="601"/>
    </row>
    <row r="49" spans="1:29" s="265" customFormat="1" ht="51.75" customHeight="1">
      <c r="A49" s="273" t="s">
        <v>24</v>
      </c>
      <c r="B49" s="610" t="s">
        <v>925</v>
      </c>
      <c r="C49" s="611"/>
      <c r="D49" s="251"/>
      <c r="E49" s="251"/>
      <c r="F49" s="612"/>
      <c r="G49" s="295">
        <f>SUM(G50:G53)</f>
        <v>105741</v>
      </c>
      <c r="H49" s="295">
        <f t="shared" ref="H49:W49" si="28">SUM(H50:H53)</f>
        <v>0</v>
      </c>
      <c r="I49" s="295">
        <f t="shared" si="28"/>
        <v>0</v>
      </c>
      <c r="J49" s="295">
        <f t="shared" si="28"/>
        <v>105741</v>
      </c>
      <c r="K49" s="295">
        <f t="shared" si="28"/>
        <v>0</v>
      </c>
      <c r="L49" s="295">
        <f t="shared" si="28"/>
        <v>89967</v>
      </c>
      <c r="M49" s="295">
        <f t="shared" si="28"/>
        <v>0</v>
      </c>
      <c r="N49" s="295">
        <f t="shared" si="28"/>
        <v>0</v>
      </c>
      <c r="O49" s="295">
        <f t="shared" si="28"/>
        <v>89967</v>
      </c>
      <c r="P49" s="295">
        <f t="shared" si="28"/>
        <v>0</v>
      </c>
      <c r="Q49" s="295">
        <f t="shared" si="28"/>
        <v>6300</v>
      </c>
      <c r="R49" s="295">
        <f t="shared" si="28"/>
        <v>0</v>
      </c>
      <c r="S49" s="295">
        <f t="shared" si="28"/>
        <v>0</v>
      </c>
      <c r="T49" s="295">
        <f>SUM(T50:T53)</f>
        <v>6300</v>
      </c>
      <c r="U49" s="295">
        <f t="shared" si="28"/>
        <v>0</v>
      </c>
      <c r="V49" s="295">
        <f t="shared" si="28"/>
        <v>0</v>
      </c>
      <c r="W49" s="295">
        <f t="shared" si="28"/>
        <v>0</v>
      </c>
      <c r="X49" s="610"/>
      <c r="Y49" s="277"/>
      <c r="Z49" s="277"/>
      <c r="AA49" s="601"/>
      <c r="AB49" s="601"/>
      <c r="AC49" s="601"/>
    </row>
    <row r="50" spans="1:29" s="265" customFormat="1" ht="69.75" customHeight="1">
      <c r="A50" s="282"/>
      <c r="B50" s="606" t="s">
        <v>1011</v>
      </c>
      <c r="C50" s="607" t="s">
        <v>814</v>
      </c>
      <c r="D50" s="284"/>
      <c r="E50" s="284"/>
      <c r="F50" s="608" t="s">
        <v>1012</v>
      </c>
      <c r="G50" s="197">
        <f>SUM(H50:K50)</f>
        <v>28900</v>
      </c>
      <c r="H50" s="287"/>
      <c r="I50" s="287"/>
      <c r="J50" s="609">
        <v>28900</v>
      </c>
      <c r="K50" s="287"/>
      <c r="L50" s="197">
        <f>SUM(M50:P50)</f>
        <v>23750</v>
      </c>
      <c r="M50" s="287"/>
      <c r="N50" s="287"/>
      <c r="O50" s="609">
        <v>23750</v>
      </c>
      <c r="P50" s="287"/>
      <c r="Q50" s="197">
        <f t="shared" si="25"/>
        <v>2000</v>
      </c>
      <c r="R50" s="609"/>
      <c r="S50" s="287"/>
      <c r="T50" s="609">
        <v>2000</v>
      </c>
      <c r="U50" s="287"/>
      <c r="V50" s="287"/>
      <c r="W50" s="287"/>
      <c r="X50" s="608" t="s">
        <v>925</v>
      </c>
      <c r="Y50" s="277"/>
      <c r="Z50" s="277"/>
      <c r="AA50" s="601"/>
      <c r="AB50" s="601"/>
      <c r="AC50" s="601"/>
    </row>
    <row r="51" spans="1:29" s="265" customFormat="1" ht="69.75" customHeight="1">
      <c r="A51" s="282"/>
      <c r="B51" s="606" t="s">
        <v>1013</v>
      </c>
      <c r="C51" s="607" t="s">
        <v>813</v>
      </c>
      <c r="D51" s="284"/>
      <c r="E51" s="284"/>
      <c r="F51" s="608" t="s">
        <v>1014</v>
      </c>
      <c r="G51" s="197">
        <f t="shared" ref="G51:G81" si="29">SUM(H51:K51)</f>
        <v>25088</v>
      </c>
      <c r="H51" s="287"/>
      <c r="I51" s="287"/>
      <c r="J51" s="609">
        <v>25088</v>
      </c>
      <c r="K51" s="287"/>
      <c r="L51" s="197">
        <f t="shared" ref="L51:L81" si="30">SUM(M51:P51)</f>
        <v>21620</v>
      </c>
      <c r="M51" s="287"/>
      <c r="N51" s="287"/>
      <c r="O51" s="609">
        <v>21620</v>
      </c>
      <c r="P51" s="287"/>
      <c r="Q51" s="197">
        <f t="shared" si="25"/>
        <v>1000</v>
      </c>
      <c r="R51" s="609"/>
      <c r="S51" s="287"/>
      <c r="T51" s="609">
        <v>1000</v>
      </c>
      <c r="U51" s="287"/>
      <c r="V51" s="287"/>
      <c r="W51" s="287"/>
      <c r="X51" s="608" t="s">
        <v>925</v>
      </c>
      <c r="Y51" s="277"/>
      <c r="Z51" s="277"/>
      <c r="AA51" s="601"/>
      <c r="AB51" s="601"/>
      <c r="AC51" s="601"/>
    </row>
    <row r="52" spans="1:29" s="265" customFormat="1" ht="69.75" customHeight="1">
      <c r="A52" s="282"/>
      <c r="B52" s="606" t="s">
        <v>1015</v>
      </c>
      <c r="C52" s="607" t="s">
        <v>813</v>
      </c>
      <c r="D52" s="284"/>
      <c r="E52" s="284"/>
      <c r="F52" s="608" t="s">
        <v>1016</v>
      </c>
      <c r="G52" s="197">
        <f t="shared" si="29"/>
        <v>9627</v>
      </c>
      <c r="H52" s="287"/>
      <c r="I52" s="287"/>
      <c r="J52" s="609">
        <v>9627</v>
      </c>
      <c r="K52" s="287"/>
      <c r="L52" s="197">
        <f t="shared" si="30"/>
        <v>7900</v>
      </c>
      <c r="M52" s="287"/>
      <c r="N52" s="287"/>
      <c r="O52" s="609">
        <v>7900</v>
      </c>
      <c r="P52" s="287"/>
      <c r="Q52" s="197">
        <f t="shared" si="25"/>
        <v>800</v>
      </c>
      <c r="R52" s="609"/>
      <c r="S52" s="287"/>
      <c r="T52" s="609">
        <v>800</v>
      </c>
      <c r="U52" s="287"/>
      <c r="V52" s="287"/>
      <c r="W52" s="287"/>
      <c r="X52" s="608" t="s">
        <v>925</v>
      </c>
      <c r="Y52" s="277"/>
      <c r="Z52" s="277"/>
      <c r="AA52" s="601"/>
      <c r="AB52" s="601"/>
      <c r="AC52" s="601"/>
    </row>
    <row r="53" spans="1:29" s="265" customFormat="1" ht="69.75" customHeight="1">
      <c r="A53" s="282"/>
      <c r="B53" s="606" t="s">
        <v>1017</v>
      </c>
      <c r="C53" s="607" t="s">
        <v>813</v>
      </c>
      <c r="D53" s="284"/>
      <c r="E53" s="284"/>
      <c r="F53" s="608" t="s">
        <v>1018</v>
      </c>
      <c r="G53" s="197">
        <f t="shared" si="29"/>
        <v>42126</v>
      </c>
      <c r="H53" s="287"/>
      <c r="I53" s="287"/>
      <c r="J53" s="609">
        <v>42126</v>
      </c>
      <c r="K53" s="287"/>
      <c r="L53" s="197">
        <f t="shared" si="30"/>
        <v>36697</v>
      </c>
      <c r="M53" s="287"/>
      <c r="N53" s="287"/>
      <c r="O53" s="609">
        <v>36697</v>
      </c>
      <c r="P53" s="287"/>
      <c r="Q53" s="197">
        <f t="shared" si="25"/>
        <v>2500</v>
      </c>
      <c r="R53" s="609"/>
      <c r="S53" s="287"/>
      <c r="T53" s="609">
        <v>2500</v>
      </c>
      <c r="U53" s="287"/>
      <c r="V53" s="287"/>
      <c r="W53" s="287"/>
      <c r="X53" s="608" t="s">
        <v>925</v>
      </c>
      <c r="Y53" s="277"/>
      <c r="Z53" s="277"/>
      <c r="AA53" s="601"/>
      <c r="AB53" s="601"/>
      <c r="AC53" s="601"/>
    </row>
    <row r="54" spans="1:29" s="265" customFormat="1" ht="69.75" customHeight="1">
      <c r="A54" s="273" t="s">
        <v>25</v>
      </c>
      <c r="B54" s="610" t="s">
        <v>928</v>
      </c>
      <c r="C54" s="611"/>
      <c r="D54" s="251"/>
      <c r="E54" s="251"/>
      <c r="F54" s="612"/>
      <c r="G54" s="295">
        <f>SUM(G55:G57)</f>
        <v>67000</v>
      </c>
      <c r="H54" s="295">
        <f t="shared" ref="H54:V54" si="31">SUM(H55:H57)</f>
        <v>0</v>
      </c>
      <c r="I54" s="295">
        <f t="shared" si="31"/>
        <v>0</v>
      </c>
      <c r="J54" s="295">
        <f t="shared" si="31"/>
        <v>67000</v>
      </c>
      <c r="K54" s="295">
        <f t="shared" si="31"/>
        <v>0</v>
      </c>
      <c r="L54" s="295">
        <f t="shared" si="31"/>
        <v>45937</v>
      </c>
      <c r="M54" s="295">
        <f t="shared" si="31"/>
        <v>0</v>
      </c>
      <c r="N54" s="295">
        <f t="shared" si="31"/>
        <v>0</v>
      </c>
      <c r="O54" s="295">
        <f t="shared" si="31"/>
        <v>45937</v>
      </c>
      <c r="P54" s="295">
        <f t="shared" si="31"/>
        <v>0</v>
      </c>
      <c r="Q54" s="295">
        <f t="shared" si="31"/>
        <v>13500</v>
      </c>
      <c r="R54" s="295">
        <f t="shared" si="31"/>
        <v>0</v>
      </c>
      <c r="S54" s="295">
        <f t="shared" si="31"/>
        <v>0</v>
      </c>
      <c r="T54" s="295">
        <f t="shared" si="31"/>
        <v>13500</v>
      </c>
      <c r="U54" s="295">
        <f t="shared" si="31"/>
        <v>0</v>
      </c>
      <c r="V54" s="295">
        <f t="shared" si="31"/>
        <v>0</v>
      </c>
      <c r="W54" s="253"/>
      <c r="X54" s="610"/>
      <c r="Y54" s="277"/>
      <c r="Z54" s="277"/>
      <c r="AA54" s="601"/>
      <c r="AB54" s="601"/>
      <c r="AC54" s="601"/>
    </row>
    <row r="55" spans="1:29" s="265" customFormat="1" ht="69.75" customHeight="1">
      <c r="A55" s="282"/>
      <c r="B55" s="606" t="s">
        <v>1019</v>
      </c>
      <c r="C55" s="607" t="s">
        <v>841</v>
      </c>
      <c r="D55" s="284"/>
      <c r="E55" s="284"/>
      <c r="F55" s="608"/>
      <c r="G55" s="197">
        <f t="shared" si="29"/>
        <v>9000</v>
      </c>
      <c r="H55" s="287"/>
      <c r="I55" s="287"/>
      <c r="J55" s="609">
        <v>9000</v>
      </c>
      <c r="K55" s="287"/>
      <c r="L55" s="197">
        <f t="shared" si="30"/>
        <v>6000</v>
      </c>
      <c r="M55" s="287"/>
      <c r="N55" s="287"/>
      <c r="O55" s="609">
        <v>6000</v>
      </c>
      <c r="P55" s="287"/>
      <c r="Q55" s="197">
        <f t="shared" si="25"/>
        <v>2500</v>
      </c>
      <c r="R55" s="609"/>
      <c r="S55" s="287"/>
      <c r="T55" s="609">
        <v>2500</v>
      </c>
      <c r="U55" s="287"/>
      <c r="V55" s="287"/>
      <c r="W55" s="287"/>
      <c r="X55" s="608" t="s">
        <v>928</v>
      </c>
      <c r="Y55" s="277"/>
      <c r="Z55" s="277"/>
      <c r="AA55" s="601"/>
      <c r="AB55" s="601"/>
      <c r="AC55" s="601"/>
    </row>
    <row r="56" spans="1:29" s="265" customFormat="1" ht="69.75" customHeight="1">
      <c r="A56" s="282"/>
      <c r="B56" s="606" t="s">
        <v>1020</v>
      </c>
      <c r="C56" s="607" t="s">
        <v>841</v>
      </c>
      <c r="D56" s="284"/>
      <c r="E56" s="284"/>
      <c r="F56" s="608"/>
      <c r="G56" s="197">
        <f t="shared" si="29"/>
        <v>36000</v>
      </c>
      <c r="H56" s="287"/>
      <c r="I56" s="287"/>
      <c r="J56" s="609">
        <v>36000</v>
      </c>
      <c r="K56" s="287"/>
      <c r="L56" s="197">
        <f t="shared" si="30"/>
        <v>28500</v>
      </c>
      <c r="M56" s="287"/>
      <c r="N56" s="287"/>
      <c r="O56" s="609">
        <v>28500</v>
      </c>
      <c r="P56" s="287"/>
      <c r="Q56" s="197">
        <f t="shared" si="25"/>
        <v>5000</v>
      </c>
      <c r="R56" s="609"/>
      <c r="S56" s="287"/>
      <c r="T56" s="609">
        <v>5000</v>
      </c>
      <c r="U56" s="287"/>
      <c r="V56" s="287"/>
      <c r="W56" s="287"/>
      <c r="X56" s="608" t="s">
        <v>928</v>
      </c>
      <c r="Y56" s="277"/>
      <c r="Z56" s="277"/>
      <c r="AA56" s="601"/>
      <c r="AB56" s="601"/>
      <c r="AC56" s="601"/>
    </row>
    <row r="57" spans="1:29" s="265" customFormat="1" ht="69.75" customHeight="1">
      <c r="A57" s="282"/>
      <c r="B57" s="606" t="s">
        <v>1021</v>
      </c>
      <c r="C57" s="607" t="s">
        <v>841</v>
      </c>
      <c r="D57" s="284"/>
      <c r="E57" s="284"/>
      <c r="F57" s="608"/>
      <c r="G57" s="197">
        <f t="shared" si="29"/>
        <v>22000</v>
      </c>
      <c r="H57" s="287"/>
      <c r="I57" s="287"/>
      <c r="J57" s="609">
        <v>22000</v>
      </c>
      <c r="K57" s="287"/>
      <c r="L57" s="197">
        <f t="shared" si="30"/>
        <v>11437</v>
      </c>
      <c r="M57" s="287"/>
      <c r="N57" s="287"/>
      <c r="O57" s="609">
        <v>11437</v>
      </c>
      <c r="P57" s="287"/>
      <c r="Q57" s="197">
        <f t="shared" si="25"/>
        <v>6000</v>
      </c>
      <c r="R57" s="609"/>
      <c r="S57" s="287"/>
      <c r="T57" s="609">
        <v>6000</v>
      </c>
      <c r="U57" s="287"/>
      <c r="V57" s="287"/>
      <c r="W57" s="287"/>
      <c r="X57" s="608" t="s">
        <v>928</v>
      </c>
      <c r="Y57" s="277"/>
      <c r="Z57" s="277"/>
      <c r="AA57" s="601"/>
      <c r="AB57" s="601"/>
      <c r="AC57" s="601"/>
    </row>
    <row r="58" spans="1:29" s="265" customFormat="1" ht="48" customHeight="1">
      <c r="A58" s="273" t="s">
        <v>26</v>
      </c>
      <c r="B58" s="610" t="s">
        <v>929</v>
      </c>
      <c r="C58" s="611"/>
      <c r="D58" s="251"/>
      <c r="E58" s="251"/>
      <c r="F58" s="612"/>
      <c r="G58" s="295">
        <f>SUM(G59:G64)</f>
        <v>71138</v>
      </c>
      <c r="H58" s="295">
        <f t="shared" ref="H58:V58" si="32">SUM(H59:H64)</f>
        <v>0</v>
      </c>
      <c r="I58" s="295">
        <f t="shared" si="32"/>
        <v>0</v>
      </c>
      <c r="J58" s="295">
        <f t="shared" si="32"/>
        <v>71138</v>
      </c>
      <c r="K58" s="295">
        <f t="shared" si="32"/>
        <v>0</v>
      </c>
      <c r="L58" s="295">
        <f t="shared" si="32"/>
        <v>41979</v>
      </c>
      <c r="M58" s="295">
        <f t="shared" si="32"/>
        <v>0</v>
      </c>
      <c r="N58" s="295">
        <f t="shared" si="32"/>
        <v>0</v>
      </c>
      <c r="O58" s="295">
        <f t="shared" si="32"/>
        <v>41979</v>
      </c>
      <c r="P58" s="295">
        <f t="shared" si="32"/>
        <v>0</v>
      </c>
      <c r="Q58" s="295">
        <f t="shared" si="32"/>
        <v>28500</v>
      </c>
      <c r="R58" s="295">
        <f t="shared" si="32"/>
        <v>0</v>
      </c>
      <c r="S58" s="295">
        <f t="shared" si="32"/>
        <v>0</v>
      </c>
      <c r="T58" s="295">
        <f>SUM(T59:T64)</f>
        <v>28500</v>
      </c>
      <c r="U58" s="295">
        <f t="shared" si="32"/>
        <v>0</v>
      </c>
      <c r="V58" s="295">
        <f t="shared" si="32"/>
        <v>0</v>
      </c>
      <c r="W58" s="253"/>
      <c r="X58" s="612"/>
      <c r="Y58" s="277"/>
      <c r="Z58" s="277"/>
      <c r="AA58" s="601"/>
      <c r="AB58" s="601"/>
      <c r="AC58" s="601"/>
    </row>
    <row r="59" spans="1:29" s="265" customFormat="1" ht="69.75" customHeight="1">
      <c r="A59" s="282"/>
      <c r="B59" s="606" t="s">
        <v>1022</v>
      </c>
      <c r="C59" s="607" t="s">
        <v>1023</v>
      </c>
      <c r="D59" s="284"/>
      <c r="E59" s="284"/>
      <c r="F59" s="608" t="s">
        <v>1024</v>
      </c>
      <c r="G59" s="197">
        <f t="shared" si="29"/>
        <v>11800</v>
      </c>
      <c r="H59" s="287"/>
      <c r="I59" s="287"/>
      <c r="J59" s="609">
        <v>11800</v>
      </c>
      <c r="K59" s="287"/>
      <c r="L59" s="197">
        <f t="shared" si="30"/>
        <v>8700</v>
      </c>
      <c r="M59" s="287"/>
      <c r="N59" s="287"/>
      <c r="O59" s="609">
        <v>8700</v>
      </c>
      <c r="P59" s="287"/>
      <c r="Q59" s="197">
        <f>SUM(R59:W59)</f>
        <v>1900</v>
      </c>
      <c r="R59" s="609"/>
      <c r="S59" s="287"/>
      <c r="T59" s="609">
        <v>1900</v>
      </c>
      <c r="U59" s="287"/>
      <c r="V59" s="287"/>
      <c r="W59" s="287"/>
      <c r="X59" s="608" t="s">
        <v>929</v>
      </c>
      <c r="Y59" s="277"/>
      <c r="Z59" s="277"/>
      <c r="AA59" s="601"/>
      <c r="AB59" s="601"/>
      <c r="AC59" s="601"/>
    </row>
    <row r="60" spans="1:29" s="265" customFormat="1" ht="69.75" customHeight="1">
      <c r="A60" s="282"/>
      <c r="B60" s="606" t="s">
        <v>1025</v>
      </c>
      <c r="C60" s="607" t="s">
        <v>1026</v>
      </c>
      <c r="D60" s="284"/>
      <c r="E60" s="284"/>
      <c r="F60" s="608" t="s">
        <v>1027</v>
      </c>
      <c r="G60" s="197">
        <f t="shared" si="29"/>
        <v>21000</v>
      </c>
      <c r="H60" s="287"/>
      <c r="I60" s="287"/>
      <c r="J60" s="609">
        <v>21000</v>
      </c>
      <c r="K60" s="287"/>
      <c r="L60" s="197">
        <f t="shared" si="30"/>
        <v>14024</v>
      </c>
      <c r="M60" s="287"/>
      <c r="N60" s="287"/>
      <c r="O60" s="609">
        <v>14024</v>
      </c>
      <c r="P60" s="287"/>
      <c r="Q60" s="197">
        <f t="shared" ref="Q60:Q81" si="33">SUM(R60:W60)</f>
        <v>4800</v>
      </c>
      <c r="R60" s="609"/>
      <c r="S60" s="287"/>
      <c r="T60" s="609">
        <v>4800</v>
      </c>
      <c r="U60" s="287"/>
      <c r="V60" s="287"/>
      <c r="W60" s="287"/>
      <c r="X60" s="608" t="s">
        <v>929</v>
      </c>
      <c r="Y60" s="277"/>
      <c r="Z60" s="277"/>
      <c r="AA60" s="601"/>
      <c r="AB60" s="601"/>
      <c r="AC60" s="601"/>
    </row>
    <row r="61" spans="1:29" s="265" customFormat="1" ht="69.75" customHeight="1">
      <c r="A61" s="282"/>
      <c r="B61" s="606" t="s">
        <v>1028</v>
      </c>
      <c r="C61" s="607" t="s">
        <v>1029</v>
      </c>
      <c r="D61" s="284"/>
      <c r="E61" s="284"/>
      <c r="F61" s="608" t="s">
        <v>1030</v>
      </c>
      <c r="G61" s="197">
        <f t="shared" si="29"/>
        <v>18188</v>
      </c>
      <c r="H61" s="287"/>
      <c r="I61" s="287"/>
      <c r="J61" s="609">
        <v>18188</v>
      </c>
      <c r="K61" s="287"/>
      <c r="L61" s="197">
        <f t="shared" si="30"/>
        <v>6312</v>
      </c>
      <c r="M61" s="287"/>
      <c r="N61" s="287"/>
      <c r="O61" s="609">
        <v>6312</v>
      </c>
      <c r="P61" s="287"/>
      <c r="Q61" s="197">
        <f t="shared" si="33"/>
        <v>15000</v>
      </c>
      <c r="R61" s="609"/>
      <c r="S61" s="287"/>
      <c r="T61" s="609">
        <v>15000</v>
      </c>
      <c r="U61" s="287"/>
      <c r="V61" s="287"/>
      <c r="W61" s="287"/>
      <c r="X61" s="608" t="s">
        <v>929</v>
      </c>
      <c r="Y61" s="277"/>
      <c r="Z61" s="277"/>
      <c r="AA61" s="601"/>
      <c r="AB61" s="601"/>
      <c r="AC61" s="601"/>
    </row>
    <row r="62" spans="1:29" s="265" customFormat="1" ht="69.75" customHeight="1">
      <c r="A62" s="282"/>
      <c r="B62" s="606" t="s">
        <v>1031</v>
      </c>
      <c r="C62" s="607" t="s">
        <v>1026</v>
      </c>
      <c r="D62" s="284"/>
      <c r="E62" s="284"/>
      <c r="F62" s="608" t="s">
        <v>1032</v>
      </c>
      <c r="G62" s="197">
        <f t="shared" si="29"/>
        <v>6000</v>
      </c>
      <c r="H62" s="287"/>
      <c r="I62" s="287"/>
      <c r="J62" s="609">
        <v>6000</v>
      </c>
      <c r="K62" s="287"/>
      <c r="L62" s="197">
        <f t="shared" si="30"/>
        <v>2000</v>
      </c>
      <c r="M62" s="287"/>
      <c r="N62" s="287"/>
      <c r="O62" s="609">
        <v>2000</v>
      </c>
      <c r="P62" s="287"/>
      <c r="Q62" s="197">
        <f t="shared" si="33"/>
        <v>5000</v>
      </c>
      <c r="R62" s="609"/>
      <c r="S62" s="287"/>
      <c r="T62" s="609">
        <v>5000</v>
      </c>
      <c r="U62" s="287"/>
      <c r="V62" s="287"/>
      <c r="W62" s="287"/>
      <c r="X62" s="608" t="s">
        <v>929</v>
      </c>
      <c r="Y62" s="277"/>
      <c r="Z62" s="277"/>
      <c r="AA62" s="601"/>
      <c r="AB62" s="601"/>
      <c r="AC62" s="601"/>
    </row>
    <row r="63" spans="1:29" s="265" customFormat="1" ht="69.75" customHeight="1">
      <c r="A63" s="282"/>
      <c r="B63" s="606" t="s">
        <v>1033</v>
      </c>
      <c r="C63" s="607" t="s">
        <v>1029</v>
      </c>
      <c r="D63" s="284"/>
      <c r="E63" s="284"/>
      <c r="F63" s="608" t="s">
        <v>1034</v>
      </c>
      <c r="G63" s="197">
        <f t="shared" si="29"/>
        <v>6150</v>
      </c>
      <c r="H63" s="287"/>
      <c r="I63" s="287"/>
      <c r="J63" s="609">
        <v>6150</v>
      </c>
      <c r="K63" s="287"/>
      <c r="L63" s="197">
        <f t="shared" si="30"/>
        <v>5300</v>
      </c>
      <c r="M63" s="287"/>
      <c r="N63" s="287"/>
      <c r="O63" s="609">
        <v>5300</v>
      </c>
      <c r="P63" s="287"/>
      <c r="Q63" s="197">
        <f t="shared" si="33"/>
        <v>300</v>
      </c>
      <c r="R63" s="609"/>
      <c r="S63" s="287"/>
      <c r="T63" s="609">
        <v>300</v>
      </c>
      <c r="U63" s="287"/>
      <c r="V63" s="287"/>
      <c r="W63" s="287"/>
      <c r="X63" s="608" t="s">
        <v>929</v>
      </c>
      <c r="Y63" s="277"/>
      <c r="Z63" s="277"/>
      <c r="AA63" s="601"/>
      <c r="AB63" s="601"/>
      <c r="AC63" s="601"/>
    </row>
    <row r="64" spans="1:29" ht="47.25">
      <c r="A64" s="224"/>
      <c r="B64" s="606" t="s">
        <v>1035</v>
      </c>
      <c r="C64" s="607" t="s">
        <v>1029</v>
      </c>
      <c r="D64" s="239"/>
      <c r="E64" s="239"/>
      <c r="F64" s="608" t="s">
        <v>1036</v>
      </c>
      <c r="G64" s="197">
        <f t="shared" si="29"/>
        <v>8000</v>
      </c>
      <c r="H64" s="239"/>
      <c r="I64" s="239"/>
      <c r="J64" s="609">
        <v>8000</v>
      </c>
      <c r="K64" s="239"/>
      <c r="L64" s="197">
        <f t="shared" si="30"/>
        <v>5643</v>
      </c>
      <c r="M64" s="239"/>
      <c r="N64" s="239"/>
      <c r="O64" s="609">
        <v>5643</v>
      </c>
      <c r="P64" s="239"/>
      <c r="Q64" s="197">
        <f t="shared" si="33"/>
        <v>1500</v>
      </c>
      <c r="R64" s="239"/>
      <c r="S64" s="239"/>
      <c r="T64" s="609">
        <v>1500</v>
      </c>
      <c r="U64" s="239"/>
      <c r="V64" s="239"/>
      <c r="W64" s="239"/>
      <c r="X64" s="608" t="s">
        <v>929</v>
      </c>
    </row>
    <row r="65" spans="1:29" s="354" customFormat="1" ht="18.75">
      <c r="A65" s="351" t="s">
        <v>343</v>
      </c>
      <c r="B65" s="612" t="s">
        <v>930</v>
      </c>
      <c r="C65" s="611"/>
      <c r="D65" s="352"/>
      <c r="E65" s="352"/>
      <c r="F65" s="612"/>
      <c r="G65" s="353">
        <f>SUM(G66:G76)</f>
        <v>253634</v>
      </c>
      <c r="H65" s="353">
        <f t="shared" ref="H65:W65" si="34">SUM(H66:H76)</f>
        <v>0</v>
      </c>
      <c r="I65" s="353">
        <f t="shared" si="34"/>
        <v>0</v>
      </c>
      <c r="J65" s="353">
        <f t="shared" si="34"/>
        <v>253634</v>
      </c>
      <c r="K65" s="353">
        <f t="shared" si="34"/>
        <v>0</v>
      </c>
      <c r="L65" s="353">
        <f t="shared" si="34"/>
        <v>132332</v>
      </c>
      <c r="M65" s="353">
        <f t="shared" si="34"/>
        <v>0</v>
      </c>
      <c r="N65" s="353">
        <f t="shared" si="34"/>
        <v>0</v>
      </c>
      <c r="O65" s="353">
        <f t="shared" si="34"/>
        <v>132332</v>
      </c>
      <c r="P65" s="353">
        <f t="shared" si="34"/>
        <v>0</v>
      </c>
      <c r="Q65" s="353">
        <f>SUM(Q66:Q76)</f>
        <v>67800</v>
      </c>
      <c r="R65" s="353">
        <f t="shared" si="34"/>
        <v>800</v>
      </c>
      <c r="S65" s="353">
        <f t="shared" si="34"/>
        <v>0</v>
      </c>
      <c r="T65" s="353">
        <f>SUM(T66:T76)</f>
        <v>67000</v>
      </c>
      <c r="U65" s="353">
        <f t="shared" si="34"/>
        <v>0</v>
      </c>
      <c r="V65" s="353">
        <f t="shared" si="34"/>
        <v>0</v>
      </c>
      <c r="W65" s="353">
        <f t="shared" si="34"/>
        <v>0</v>
      </c>
      <c r="X65" s="351"/>
      <c r="AA65" s="598"/>
      <c r="AB65" s="598"/>
      <c r="AC65" s="598"/>
    </row>
    <row r="66" spans="1:29" ht="78" customHeight="1">
      <c r="A66" s="224"/>
      <c r="B66" s="606" t="s">
        <v>1037</v>
      </c>
      <c r="C66" s="607" t="s">
        <v>1038</v>
      </c>
      <c r="D66" s="239"/>
      <c r="E66" s="239"/>
      <c r="F66" s="608" t="s">
        <v>1039</v>
      </c>
      <c r="G66" s="197">
        <f t="shared" si="29"/>
        <v>14800</v>
      </c>
      <c r="H66" s="239"/>
      <c r="I66" s="239"/>
      <c r="J66" s="609">
        <v>14800</v>
      </c>
      <c r="K66" s="239"/>
      <c r="L66" s="197">
        <f t="shared" si="30"/>
        <v>12554</v>
      </c>
      <c r="M66" s="239"/>
      <c r="N66" s="239"/>
      <c r="O66" s="609">
        <v>12554</v>
      </c>
      <c r="P66" s="239"/>
      <c r="Q66" s="197">
        <f t="shared" si="33"/>
        <v>800</v>
      </c>
      <c r="R66" s="609">
        <v>800</v>
      </c>
      <c r="S66" s="239"/>
      <c r="T66" s="239"/>
      <c r="U66" s="239"/>
      <c r="V66" s="239"/>
      <c r="W66" s="239"/>
      <c r="X66" s="608" t="s">
        <v>930</v>
      </c>
    </row>
    <row r="67" spans="1:29" ht="42.75" customHeight="1">
      <c r="A67" s="224"/>
      <c r="B67" s="606" t="s">
        <v>1040</v>
      </c>
      <c r="C67" s="607" t="s">
        <v>1041</v>
      </c>
      <c r="D67" s="239"/>
      <c r="E67" s="239"/>
      <c r="F67" s="608" t="s">
        <v>1042</v>
      </c>
      <c r="G67" s="197">
        <f t="shared" si="29"/>
        <v>8906</v>
      </c>
      <c r="H67" s="239"/>
      <c r="I67" s="239"/>
      <c r="J67" s="609">
        <v>8906</v>
      </c>
      <c r="K67" s="239"/>
      <c r="L67" s="197">
        <f t="shared" si="30"/>
        <v>4300</v>
      </c>
      <c r="M67" s="239"/>
      <c r="N67" s="239"/>
      <c r="O67" s="609">
        <v>4300</v>
      </c>
      <c r="P67" s="239"/>
      <c r="Q67" s="197">
        <f t="shared" si="33"/>
        <v>3500</v>
      </c>
      <c r="R67" s="609"/>
      <c r="S67" s="239"/>
      <c r="T67" s="609">
        <v>3500</v>
      </c>
      <c r="U67" s="239"/>
      <c r="V67" s="239"/>
      <c r="W67" s="239"/>
      <c r="X67" s="608" t="s">
        <v>930</v>
      </c>
    </row>
    <row r="68" spans="1:29" ht="42.75" customHeight="1">
      <c r="A68" s="224"/>
      <c r="B68" s="606" t="s">
        <v>1043</v>
      </c>
      <c r="C68" s="607" t="s">
        <v>1038</v>
      </c>
      <c r="D68" s="239"/>
      <c r="E68" s="239"/>
      <c r="F68" s="608" t="s">
        <v>1044</v>
      </c>
      <c r="G68" s="197">
        <f t="shared" si="29"/>
        <v>14990</v>
      </c>
      <c r="H68" s="239"/>
      <c r="I68" s="239"/>
      <c r="J68" s="609">
        <v>14990</v>
      </c>
      <c r="K68" s="239"/>
      <c r="L68" s="197">
        <f t="shared" si="30"/>
        <v>10250</v>
      </c>
      <c r="M68" s="239"/>
      <c r="N68" s="239"/>
      <c r="O68" s="609">
        <v>10250</v>
      </c>
      <c r="P68" s="239"/>
      <c r="Q68" s="197">
        <f t="shared" si="33"/>
        <v>2800</v>
      </c>
      <c r="R68" s="609"/>
      <c r="S68" s="239"/>
      <c r="T68" s="609">
        <v>2800</v>
      </c>
      <c r="U68" s="239"/>
      <c r="V68" s="239"/>
      <c r="W68" s="239"/>
      <c r="X68" s="608" t="s">
        <v>930</v>
      </c>
    </row>
    <row r="69" spans="1:29" ht="42.75" customHeight="1">
      <c r="A69" s="224"/>
      <c r="B69" s="606" t="s">
        <v>1045</v>
      </c>
      <c r="C69" s="607" t="s">
        <v>1046</v>
      </c>
      <c r="D69" s="239"/>
      <c r="E69" s="239"/>
      <c r="F69" s="608" t="s">
        <v>1047</v>
      </c>
      <c r="G69" s="197">
        <f t="shared" si="29"/>
        <v>19500</v>
      </c>
      <c r="H69" s="239"/>
      <c r="I69" s="239"/>
      <c r="J69" s="609">
        <v>19500</v>
      </c>
      <c r="K69" s="239"/>
      <c r="L69" s="197">
        <f t="shared" si="30"/>
        <v>17100</v>
      </c>
      <c r="M69" s="239"/>
      <c r="N69" s="239"/>
      <c r="O69" s="609">
        <v>17100</v>
      </c>
      <c r="P69" s="239"/>
      <c r="Q69" s="197">
        <f t="shared" si="33"/>
        <v>1100</v>
      </c>
      <c r="R69" s="609"/>
      <c r="S69" s="239"/>
      <c r="T69" s="609">
        <v>1100</v>
      </c>
      <c r="U69" s="239"/>
      <c r="V69" s="239"/>
      <c r="W69" s="239"/>
      <c r="X69" s="608" t="s">
        <v>930</v>
      </c>
    </row>
    <row r="70" spans="1:29" ht="42.75" customHeight="1">
      <c r="A70" s="224"/>
      <c r="B70" s="606" t="s">
        <v>1048</v>
      </c>
      <c r="C70" s="607" t="s">
        <v>812</v>
      </c>
      <c r="D70" s="239"/>
      <c r="E70" s="239"/>
      <c r="F70" s="608" t="s">
        <v>1049</v>
      </c>
      <c r="G70" s="197">
        <f t="shared" si="29"/>
        <v>23158</v>
      </c>
      <c r="H70" s="239"/>
      <c r="I70" s="239"/>
      <c r="J70" s="609">
        <v>23158</v>
      </c>
      <c r="K70" s="239"/>
      <c r="L70" s="197">
        <f t="shared" si="30"/>
        <v>16328</v>
      </c>
      <c r="M70" s="239"/>
      <c r="N70" s="239"/>
      <c r="O70" s="609">
        <v>16328</v>
      </c>
      <c r="P70" s="239"/>
      <c r="Q70" s="197">
        <f t="shared" si="33"/>
        <v>4000</v>
      </c>
      <c r="R70" s="609"/>
      <c r="S70" s="239"/>
      <c r="T70" s="609">
        <v>4000</v>
      </c>
      <c r="U70" s="239"/>
      <c r="V70" s="239"/>
      <c r="W70" s="239"/>
      <c r="X70" s="608" t="s">
        <v>930</v>
      </c>
    </row>
    <row r="71" spans="1:29" ht="42.75" customHeight="1">
      <c r="A71" s="224"/>
      <c r="B71" s="606" t="s">
        <v>1050</v>
      </c>
      <c r="C71" s="607" t="s">
        <v>812</v>
      </c>
      <c r="D71" s="239"/>
      <c r="E71" s="239"/>
      <c r="F71" s="608" t="s">
        <v>1051</v>
      </c>
      <c r="G71" s="197">
        <f t="shared" si="29"/>
        <v>18013</v>
      </c>
      <c r="H71" s="239"/>
      <c r="I71" s="239"/>
      <c r="J71" s="609">
        <v>18013</v>
      </c>
      <c r="K71" s="239"/>
      <c r="L71" s="197">
        <f t="shared" si="30"/>
        <v>7800</v>
      </c>
      <c r="M71" s="239"/>
      <c r="N71" s="239"/>
      <c r="O71" s="609">
        <v>7800</v>
      </c>
      <c r="P71" s="239"/>
      <c r="Q71" s="197">
        <f t="shared" si="33"/>
        <v>7500</v>
      </c>
      <c r="R71" s="609"/>
      <c r="S71" s="239"/>
      <c r="T71" s="609">
        <v>7500</v>
      </c>
      <c r="U71" s="239"/>
      <c r="V71" s="239"/>
      <c r="W71" s="239"/>
      <c r="X71" s="608" t="s">
        <v>930</v>
      </c>
    </row>
    <row r="72" spans="1:29" ht="54.75" customHeight="1">
      <c r="A72" s="224"/>
      <c r="B72" s="606" t="s">
        <v>1052</v>
      </c>
      <c r="C72" s="607" t="s">
        <v>1046</v>
      </c>
      <c r="D72" s="239"/>
      <c r="E72" s="239"/>
      <c r="F72" s="608" t="s">
        <v>1053</v>
      </c>
      <c r="G72" s="197">
        <f t="shared" si="29"/>
        <v>36824</v>
      </c>
      <c r="H72" s="239"/>
      <c r="I72" s="239"/>
      <c r="J72" s="609">
        <v>36824</v>
      </c>
      <c r="K72" s="239"/>
      <c r="L72" s="197">
        <f t="shared" si="30"/>
        <v>6300</v>
      </c>
      <c r="M72" s="239"/>
      <c r="N72" s="239"/>
      <c r="O72" s="609">
        <v>6300</v>
      </c>
      <c r="P72" s="239"/>
      <c r="Q72" s="197">
        <f t="shared" si="33"/>
        <v>18000</v>
      </c>
      <c r="R72" s="609"/>
      <c r="S72" s="239"/>
      <c r="T72" s="609">
        <v>18000</v>
      </c>
      <c r="U72" s="239"/>
      <c r="V72" s="239"/>
      <c r="W72" s="239"/>
      <c r="X72" s="608" t="s">
        <v>930</v>
      </c>
    </row>
    <row r="73" spans="1:29" ht="54.75" customHeight="1">
      <c r="A73" s="224"/>
      <c r="B73" s="606" t="s">
        <v>1054</v>
      </c>
      <c r="C73" s="607" t="s">
        <v>1046</v>
      </c>
      <c r="D73" s="239"/>
      <c r="E73" s="239"/>
      <c r="F73" s="608" t="s">
        <v>1055</v>
      </c>
      <c r="G73" s="197">
        <f t="shared" si="29"/>
        <v>26328</v>
      </c>
      <c r="H73" s="239"/>
      <c r="I73" s="239"/>
      <c r="J73" s="609">
        <v>26328</v>
      </c>
      <c r="K73" s="239"/>
      <c r="L73" s="197">
        <f t="shared" si="30"/>
        <v>6800</v>
      </c>
      <c r="M73" s="239"/>
      <c r="N73" s="239"/>
      <c r="O73" s="609">
        <v>6800</v>
      </c>
      <c r="P73" s="239"/>
      <c r="Q73" s="197">
        <f t="shared" si="33"/>
        <v>11500</v>
      </c>
      <c r="R73" s="609"/>
      <c r="S73" s="239"/>
      <c r="T73" s="609">
        <v>11500</v>
      </c>
      <c r="U73" s="239"/>
      <c r="V73" s="239"/>
      <c r="W73" s="239"/>
      <c r="X73" s="608" t="s">
        <v>930</v>
      </c>
    </row>
    <row r="74" spans="1:29" ht="54.75" customHeight="1">
      <c r="A74" s="224"/>
      <c r="B74" s="606" t="s">
        <v>1056</v>
      </c>
      <c r="C74" s="607" t="s">
        <v>985</v>
      </c>
      <c r="D74" s="239"/>
      <c r="E74" s="239"/>
      <c r="F74" s="608" t="s">
        <v>1057</v>
      </c>
      <c r="G74" s="197">
        <f t="shared" si="29"/>
        <v>23850</v>
      </c>
      <c r="H74" s="239"/>
      <c r="I74" s="239"/>
      <c r="J74" s="609">
        <v>23850</v>
      </c>
      <c r="K74" s="239"/>
      <c r="L74" s="197">
        <f t="shared" si="30"/>
        <v>15900</v>
      </c>
      <c r="M74" s="239"/>
      <c r="N74" s="239"/>
      <c r="O74" s="609">
        <v>15900</v>
      </c>
      <c r="P74" s="239"/>
      <c r="Q74" s="197">
        <f t="shared" si="33"/>
        <v>3400</v>
      </c>
      <c r="R74" s="609"/>
      <c r="S74" s="239"/>
      <c r="T74" s="609">
        <v>3400</v>
      </c>
      <c r="U74" s="239"/>
      <c r="V74" s="239"/>
      <c r="W74" s="239"/>
      <c r="X74" s="608" t="s">
        <v>930</v>
      </c>
    </row>
    <row r="75" spans="1:29" ht="54.75" customHeight="1">
      <c r="A75" s="224"/>
      <c r="B75" s="606" t="s">
        <v>1058</v>
      </c>
      <c r="C75" s="607" t="s">
        <v>985</v>
      </c>
      <c r="D75" s="239"/>
      <c r="E75" s="239"/>
      <c r="F75" s="608" t="s">
        <v>1059</v>
      </c>
      <c r="G75" s="197">
        <f t="shared" si="29"/>
        <v>20534</v>
      </c>
      <c r="H75" s="239"/>
      <c r="I75" s="239"/>
      <c r="J75" s="609">
        <v>20534</v>
      </c>
      <c r="K75" s="239"/>
      <c r="L75" s="197">
        <f t="shared" si="30"/>
        <v>14800</v>
      </c>
      <c r="M75" s="239"/>
      <c r="N75" s="239"/>
      <c r="O75" s="609">
        <v>14800</v>
      </c>
      <c r="P75" s="239"/>
      <c r="Q75" s="197">
        <f t="shared" si="33"/>
        <v>3400</v>
      </c>
      <c r="R75" s="609"/>
      <c r="S75" s="239"/>
      <c r="T75" s="609">
        <v>3400</v>
      </c>
      <c r="U75" s="239"/>
      <c r="V75" s="239"/>
      <c r="W75" s="239"/>
      <c r="X75" s="608" t="s">
        <v>930</v>
      </c>
    </row>
    <row r="76" spans="1:29" ht="54.75" customHeight="1">
      <c r="A76" s="224"/>
      <c r="B76" s="606" t="s">
        <v>1060</v>
      </c>
      <c r="C76" s="607" t="s">
        <v>1046</v>
      </c>
      <c r="D76" s="239"/>
      <c r="E76" s="239"/>
      <c r="F76" s="608" t="s">
        <v>1061</v>
      </c>
      <c r="G76" s="197">
        <f t="shared" si="29"/>
        <v>46731</v>
      </c>
      <c r="H76" s="239"/>
      <c r="I76" s="239"/>
      <c r="J76" s="609">
        <v>46731</v>
      </c>
      <c r="K76" s="239"/>
      <c r="L76" s="197">
        <f t="shared" si="30"/>
        <v>20200</v>
      </c>
      <c r="M76" s="239"/>
      <c r="N76" s="239"/>
      <c r="O76" s="609">
        <v>20200</v>
      </c>
      <c r="P76" s="239"/>
      <c r="Q76" s="197">
        <f t="shared" si="33"/>
        <v>11800</v>
      </c>
      <c r="R76" s="609"/>
      <c r="S76" s="239"/>
      <c r="T76" s="609">
        <v>11800</v>
      </c>
      <c r="U76" s="239"/>
      <c r="V76" s="239"/>
      <c r="W76" s="239"/>
      <c r="X76" s="608" t="s">
        <v>930</v>
      </c>
    </row>
    <row r="77" spans="1:29" s="354" customFormat="1" ht="36" customHeight="1">
      <c r="A77" s="351" t="s">
        <v>346</v>
      </c>
      <c r="B77" s="610" t="s">
        <v>931</v>
      </c>
      <c r="C77" s="611"/>
      <c r="D77" s="352"/>
      <c r="E77" s="352"/>
      <c r="F77" s="612"/>
      <c r="G77" s="295">
        <f>SUM(G78:G81)</f>
        <v>81233</v>
      </c>
      <c r="H77" s="295">
        <f t="shared" ref="H77:V77" si="35">SUM(H78:H81)</f>
        <v>0</v>
      </c>
      <c r="I77" s="295">
        <f t="shared" si="35"/>
        <v>0</v>
      </c>
      <c r="J77" s="295">
        <f t="shared" si="35"/>
        <v>81233</v>
      </c>
      <c r="K77" s="295">
        <f t="shared" si="35"/>
        <v>0</v>
      </c>
      <c r="L77" s="295">
        <f t="shared" si="35"/>
        <v>63034</v>
      </c>
      <c r="M77" s="295">
        <f t="shared" si="35"/>
        <v>0</v>
      </c>
      <c r="N77" s="295">
        <f t="shared" si="35"/>
        <v>0</v>
      </c>
      <c r="O77" s="295">
        <f t="shared" si="35"/>
        <v>63034</v>
      </c>
      <c r="P77" s="295">
        <f t="shared" si="35"/>
        <v>0</v>
      </c>
      <c r="Q77" s="295">
        <f t="shared" si="35"/>
        <v>12300</v>
      </c>
      <c r="R77" s="295">
        <f t="shared" si="35"/>
        <v>0</v>
      </c>
      <c r="S77" s="295">
        <f t="shared" si="35"/>
        <v>0</v>
      </c>
      <c r="T77" s="295">
        <f t="shared" si="35"/>
        <v>12300</v>
      </c>
      <c r="U77" s="295">
        <f t="shared" si="35"/>
        <v>0</v>
      </c>
      <c r="V77" s="295">
        <f t="shared" si="35"/>
        <v>0</v>
      </c>
      <c r="W77" s="352"/>
      <c r="X77" s="612"/>
      <c r="AA77" s="598"/>
      <c r="AB77" s="598"/>
      <c r="AC77" s="598"/>
    </row>
    <row r="78" spans="1:29" ht="78" customHeight="1">
      <c r="A78" s="224"/>
      <c r="B78" s="606" t="s">
        <v>1062</v>
      </c>
      <c r="C78" s="607" t="s">
        <v>830</v>
      </c>
      <c r="D78" s="239"/>
      <c r="E78" s="239"/>
      <c r="F78" s="608"/>
      <c r="G78" s="197">
        <f t="shared" si="29"/>
        <v>14983</v>
      </c>
      <c r="H78" s="239"/>
      <c r="I78" s="239"/>
      <c r="J78" s="609">
        <v>14983</v>
      </c>
      <c r="K78" s="239"/>
      <c r="L78" s="197">
        <f t="shared" si="30"/>
        <v>12684</v>
      </c>
      <c r="M78" s="239"/>
      <c r="N78" s="239"/>
      <c r="O78" s="609">
        <v>12684</v>
      </c>
      <c r="P78" s="239"/>
      <c r="Q78" s="197">
        <f t="shared" si="33"/>
        <v>800</v>
      </c>
      <c r="R78" s="609"/>
      <c r="S78" s="239"/>
      <c r="T78" s="609">
        <v>800</v>
      </c>
      <c r="U78" s="239"/>
      <c r="V78" s="239"/>
      <c r="W78" s="239"/>
      <c r="X78" s="608" t="s">
        <v>931</v>
      </c>
    </row>
    <row r="79" spans="1:29" ht="78" customHeight="1">
      <c r="A79" s="224"/>
      <c r="B79" s="606" t="s">
        <v>1063</v>
      </c>
      <c r="C79" s="607" t="s">
        <v>828</v>
      </c>
      <c r="D79" s="239"/>
      <c r="E79" s="239"/>
      <c r="F79" s="608"/>
      <c r="G79" s="197">
        <f t="shared" si="29"/>
        <v>23900</v>
      </c>
      <c r="H79" s="239"/>
      <c r="I79" s="239"/>
      <c r="J79" s="609">
        <v>23900</v>
      </c>
      <c r="K79" s="239"/>
      <c r="L79" s="197">
        <f t="shared" si="30"/>
        <v>17000</v>
      </c>
      <c r="M79" s="239"/>
      <c r="N79" s="239"/>
      <c r="O79" s="609">
        <v>17000</v>
      </c>
      <c r="P79" s="239"/>
      <c r="Q79" s="197">
        <f t="shared" si="33"/>
        <v>4000</v>
      </c>
      <c r="R79" s="609"/>
      <c r="S79" s="239"/>
      <c r="T79" s="609">
        <v>4000</v>
      </c>
      <c r="U79" s="239"/>
      <c r="V79" s="239"/>
      <c r="W79" s="239"/>
      <c r="X79" s="608" t="s">
        <v>931</v>
      </c>
    </row>
    <row r="80" spans="1:29" ht="78" customHeight="1">
      <c r="A80" s="224"/>
      <c r="B80" s="606" t="s">
        <v>1064</v>
      </c>
      <c r="C80" s="607" t="s">
        <v>825</v>
      </c>
      <c r="D80" s="239"/>
      <c r="E80" s="239"/>
      <c r="F80" s="608"/>
      <c r="G80" s="197">
        <f t="shared" si="29"/>
        <v>17350</v>
      </c>
      <c r="H80" s="239"/>
      <c r="I80" s="239"/>
      <c r="J80" s="609">
        <v>17350</v>
      </c>
      <c r="K80" s="239"/>
      <c r="L80" s="197">
        <f t="shared" si="30"/>
        <v>14350</v>
      </c>
      <c r="M80" s="239"/>
      <c r="N80" s="239"/>
      <c r="O80" s="609">
        <v>14350</v>
      </c>
      <c r="P80" s="239"/>
      <c r="Q80" s="197">
        <f t="shared" si="33"/>
        <v>2500</v>
      </c>
      <c r="R80" s="609"/>
      <c r="S80" s="239"/>
      <c r="T80" s="609">
        <v>2500</v>
      </c>
      <c r="U80" s="239"/>
      <c r="V80" s="239"/>
      <c r="W80" s="239"/>
      <c r="X80" s="608" t="s">
        <v>931</v>
      </c>
    </row>
    <row r="81" spans="1:29" ht="80.25" customHeight="1">
      <c r="A81" s="224"/>
      <c r="B81" s="606" t="s">
        <v>1065</v>
      </c>
      <c r="C81" s="607" t="s">
        <v>825</v>
      </c>
      <c r="D81" s="239"/>
      <c r="E81" s="239"/>
      <c r="F81" s="608"/>
      <c r="G81" s="197">
        <f t="shared" si="29"/>
        <v>25000</v>
      </c>
      <c r="H81" s="239"/>
      <c r="I81" s="239"/>
      <c r="J81" s="609">
        <v>25000</v>
      </c>
      <c r="K81" s="239"/>
      <c r="L81" s="197">
        <f t="shared" si="30"/>
        <v>19000</v>
      </c>
      <c r="M81" s="239"/>
      <c r="N81" s="239"/>
      <c r="O81" s="609">
        <v>19000</v>
      </c>
      <c r="P81" s="239"/>
      <c r="Q81" s="197">
        <f t="shared" si="33"/>
        <v>5000</v>
      </c>
      <c r="R81" s="609"/>
      <c r="S81" s="239"/>
      <c r="T81" s="609">
        <v>5000</v>
      </c>
      <c r="U81" s="239"/>
      <c r="V81" s="239"/>
      <c r="W81" s="239"/>
      <c r="X81" s="608" t="s">
        <v>931</v>
      </c>
    </row>
    <row r="82" spans="1:29" s="265" customFormat="1" ht="35.450000000000003" customHeight="1">
      <c r="A82" s="237" t="s">
        <v>42</v>
      </c>
      <c r="B82" s="625" t="s">
        <v>1066</v>
      </c>
      <c r="C82" s="284"/>
      <c r="D82" s="284"/>
      <c r="E82" s="284"/>
      <c r="F82" s="284"/>
      <c r="G82" s="287">
        <f>G83+G90</f>
        <v>432550</v>
      </c>
      <c r="H82" s="287">
        <f t="shared" ref="H82:W82" si="36">H83+H90</f>
        <v>0</v>
      </c>
      <c r="I82" s="287">
        <f t="shared" si="36"/>
        <v>0</v>
      </c>
      <c r="J82" s="287">
        <f t="shared" si="36"/>
        <v>432550</v>
      </c>
      <c r="K82" s="287">
        <f t="shared" si="36"/>
        <v>0</v>
      </c>
      <c r="L82" s="287">
        <f t="shared" si="36"/>
        <v>356483</v>
      </c>
      <c r="M82" s="287">
        <f t="shared" si="36"/>
        <v>0</v>
      </c>
      <c r="N82" s="287">
        <f t="shared" si="36"/>
        <v>0</v>
      </c>
      <c r="O82" s="287">
        <f t="shared" si="36"/>
        <v>356483</v>
      </c>
      <c r="P82" s="287">
        <f t="shared" si="36"/>
        <v>0</v>
      </c>
      <c r="Q82" s="287">
        <f t="shared" si="36"/>
        <v>43200</v>
      </c>
      <c r="R82" s="287">
        <f t="shared" si="36"/>
        <v>8000</v>
      </c>
      <c r="S82" s="287">
        <f t="shared" si="36"/>
        <v>0</v>
      </c>
      <c r="T82" s="287">
        <f>T83+T90</f>
        <v>35200</v>
      </c>
      <c r="U82" s="287">
        <f t="shared" si="36"/>
        <v>0</v>
      </c>
      <c r="V82" s="287">
        <f t="shared" si="36"/>
        <v>0</v>
      </c>
      <c r="W82" s="287">
        <f t="shared" si="36"/>
        <v>0</v>
      </c>
      <c r="X82" s="626"/>
      <c r="Y82" s="277"/>
      <c r="Z82" s="277"/>
      <c r="AA82" s="601"/>
      <c r="AB82" s="601"/>
      <c r="AC82" s="601"/>
    </row>
    <row r="83" spans="1:29" s="265" customFormat="1" ht="35.450000000000003" customHeight="1">
      <c r="A83" s="273" t="s">
        <v>97</v>
      </c>
      <c r="B83" s="610" t="s">
        <v>1067</v>
      </c>
      <c r="C83" s="251"/>
      <c r="D83" s="251"/>
      <c r="E83" s="251"/>
      <c r="F83" s="251"/>
      <c r="G83" s="253">
        <f>SUM(G84:G89)</f>
        <v>414550</v>
      </c>
      <c r="H83" s="253">
        <f t="shared" ref="H83:W83" si="37">SUM(H84:H89)</f>
        <v>0</v>
      </c>
      <c r="I83" s="253">
        <f t="shared" si="37"/>
        <v>0</v>
      </c>
      <c r="J83" s="253">
        <f t="shared" si="37"/>
        <v>414550</v>
      </c>
      <c r="K83" s="253">
        <f t="shared" si="37"/>
        <v>0</v>
      </c>
      <c r="L83" s="253">
        <f t="shared" si="37"/>
        <v>340033</v>
      </c>
      <c r="M83" s="253">
        <f t="shared" si="37"/>
        <v>0</v>
      </c>
      <c r="N83" s="253">
        <f t="shared" si="37"/>
        <v>0</v>
      </c>
      <c r="O83" s="253">
        <f t="shared" si="37"/>
        <v>340033</v>
      </c>
      <c r="P83" s="253">
        <f t="shared" si="37"/>
        <v>0</v>
      </c>
      <c r="Q83" s="253">
        <f t="shared" si="37"/>
        <v>42700</v>
      </c>
      <c r="R83" s="253">
        <f t="shared" si="37"/>
        <v>8000</v>
      </c>
      <c r="S83" s="253">
        <f t="shared" si="37"/>
        <v>0</v>
      </c>
      <c r="T83" s="253">
        <f t="shared" si="37"/>
        <v>34700</v>
      </c>
      <c r="U83" s="253">
        <f t="shared" si="37"/>
        <v>0</v>
      </c>
      <c r="V83" s="253">
        <f t="shared" si="37"/>
        <v>0</v>
      </c>
      <c r="W83" s="253">
        <f t="shared" si="37"/>
        <v>0</v>
      </c>
      <c r="X83" s="627"/>
      <c r="Y83" s="277"/>
      <c r="Z83" s="277"/>
      <c r="AA83" s="601"/>
      <c r="AB83" s="601"/>
      <c r="AC83" s="601"/>
    </row>
    <row r="84" spans="1:29" s="265" customFormat="1" ht="75.75" customHeight="1">
      <c r="A84" s="273"/>
      <c r="B84" s="606" t="s">
        <v>1068</v>
      </c>
      <c r="C84" s="607" t="s">
        <v>976</v>
      </c>
      <c r="D84" s="251"/>
      <c r="E84" s="251"/>
      <c r="F84" s="251"/>
      <c r="G84" s="197">
        <f>SUM(H84:K84)</f>
        <v>75000</v>
      </c>
      <c r="H84" s="253"/>
      <c r="I84" s="253"/>
      <c r="J84" s="609">
        <v>75000</v>
      </c>
      <c r="K84" s="253"/>
      <c r="L84" s="197">
        <f>SUM(M84:P84)</f>
        <v>59233</v>
      </c>
      <c r="M84" s="253"/>
      <c r="N84" s="253"/>
      <c r="O84" s="609">
        <v>59233</v>
      </c>
      <c r="P84" s="253"/>
      <c r="Q84" s="197">
        <f t="shared" ref="Q84:Q85" si="38">SUM(R84:W84)</f>
        <v>16000</v>
      </c>
      <c r="R84" s="609">
        <v>8000</v>
      </c>
      <c r="S84" s="253"/>
      <c r="T84" s="609">
        <v>8000</v>
      </c>
      <c r="U84" s="253"/>
      <c r="V84" s="253"/>
      <c r="W84" s="253"/>
      <c r="X84" s="608" t="s">
        <v>1067</v>
      </c>
      <c r="Y84" s="277"/>
      <c r="Z84" s="277"/>
      <c r="AA84" s="601" t="s">
        <v>905</v>
      </c>
      <c r="AB84" s="601"/>
      <c r="AC84" s="601"/>
    </row>
    <row r="85" spans="1:29" s="265" customFormat="1" ht="57" customHeight="1">
      <c r="A85" s="282"/>
      <c r="B85" s="606" t="s">
        <v>1069</v>
      </c>
      <c r="C85" s="607" t="s">
        <v>837</v>
      </c>
      <c r="D85" s="284"/>
      <c r="E85" s="284"/>
      <c r="F85" s="284"/>
      <c r="G85" s="197">
        <f>SUM(H85:K85)</f>
        <v>85000</v>
      </c>
      <c r="H85" s="287"/>
      <c r="I85" s="287"/>
      <c r="J85" s="609">
        <v>85000</v>
      </c>
      <c r="K85" s="287"/>
      <c r="L85" s="197">
        <f t="shared" ref="L85:L91" si="39">SUM(M85:P85)</f>
        <v>70500</v>
      </c>
      <c r="M85" s="287"/>
      <c r="N85" s="287"/>
      <c r="O85" s="609">
        <v>70500</v>
      </c>
      <c r="P85" s="287"/>
      <c r="Q85" s="197">
        <f t="shared" si="38"/>
        <v>5000</v>
      </c>
      <c r="R85" s="609"/>
      <c r="S85" s="287"/>
      <c r="T85" s="609">
        <v>5000</v>
      </c>
      <c r="U85" s="287"/>
      <c r="V85" s="287"/>
      <c r="W85" s="287"/>
      <c r="X85" s="608" t="s">
        <v>1067</v>
      </c>
      <c r="Y85" s="277"/>
      <c r="Z85" s="277"/>
      <c r="AA85" s="601" t="s">
        <v>905</v>
      </c>
      <c r="AB85" s="601"/>
      <c r="AC85" s="601"/>
    </row>
    <row r="86" spans="1:29" s="265" customFormat="1" ht="75" customHeight="1">
      <c r="A86" s="282"/>
      <c r="B86" s="606" t="s">
        <v>1070</v>
      </c>
      <c r="C86" s="607" t="s">
        <v>837</v>
      </c>
      <c r="D86" s="284"/>
      <c r="E86" s="284"/>
      <c r="F86" s="608" t="s">
        <v>1071</v>
      </c>
      <c r="G86" s="197">
        <f>SUM(H86:K86)</f>
        <v>5550</v>
      </c>
      <c r="H86" s="287"/>
      <c r="I86" s="287"/>
      <c r="J86" s="609">
        <v>5550</v>
      </c>
      <c r="K86" s="287"/>
      <c r="L86" s="197">
        <f t="shared" si="39"/>
        <v>2500</v>
      </c>
      <c r="M86" s="287"/>
      <c r="N86" s="287"/>
      <c r="O86" s="609">
        <v>2500</v>
      </c>
      <c r="P86" s="287"/>
      <c r="Q86" s="197">
        <f>SUM(R86:W86)</f>
        <v>2500</v>
      </c>
      <c r="R86" s="287"/>
      <c r="S86" s="287"/>
      <c r="T86" s="609">
        <v>2500</v>
      </c>
      <c r="U86" s="287"/>
      <c r="V86" s="287"/>
      <c r="W86" s="287"/>
      <c r="X86" s="608" t="s">
        <v>1067</v>
      </c>
      <c r="Y86" s="277"/>
      <c r="Z86" s="277"/>
      <c r="AA86" s="601" t="s">
        <v>905</v>
      </c>
      <c r="AB86" s="601"/>
      <c r="AC86" s="601"/>
    </row>
    <row r="87" spans="1:29" s="265" customFormat="1" ht="75" customHeight="1">
      <c r="A87" s="282"/>
      <c r="B87" s="606" t="s">
        <v>1072</v>
      </c>
      <c r="C87" s="607" t="s">
        <v>830</v>
      </c>
      <c r="D87" s="284"/>
      <c r="E87" s="284"/>
      <c r="F87" s="608" t="s">
        <v>1073</v>
      </c>
      <c r="G87" s="197">
        <f t="shared" ref="G87:G91" si="40">SUM(H87:K87)</f>
        <v>230000</v>
      </c>
      <c r="H87" s="287"/>
      <c r="I87" s="287"/>
      <c r="J87" s="609">
        <v>230000</v>
      </c>
      <c r="K87" s="287"/>
      <c r="L87" s="197">
        <f t="shared" si="39"/>
        <v>200000</v>
      </c>
      <c r="M87" s="287"/>
      <c r="N87" s="287"/>
      <c r="O87" s="609">
        <v>200000</v>
      </c>
      <c r="P87" s="287"/>
      <c r="Q87" s="197">
        <f t="shared" ref="Q87:Q91" si="41">SUM(R87:W87)</f>
        <v>10000</v>
      </c>
      <c r="R87" s="287"/>
      <c r="S87" s="287"/>
      <c r="T87" s="609">
        <v>10000</v>
      </c>
      <c r="U87" s="287"/>
      <c r="V87" s="287"/>
      <c r="W87" s="287"/>
      <c r="X87" s="608" t="s">
        <v>1067</v>
      </c>
      <c r="Y87" s="277"/>
      <c r="Z87" s="277"/>
      <c r="AA87" s="601" t="s">
        <v>905</v>
      </c>
      <c r="AB87" s="601"/>
      <c r="AC87" s="601"/>
    </row>
    <row r="88" spans="1:29" s="265" customFormat="1" ht="75" customHeight="1">
      <c r="A88" s="282"/>
      <c r="B88" s="606" t="s">
        <v>1074</v>
      </c>
      <c r="C88" s="607" t="s">
        <v>954</v>
      </c>
      <c r="D88" s="284"/>
      <c r="E88" s="284"/>
      <c r="F88" s="608" t="s">
        <v>1075</v>
      </c>
      <c r="G88" s="197">
        <f t="shared" si="40"/>
        <v>5000</v>
      </c>
      <c r="H88" s="287"/>
      <c r="I88" s="287"/>
      <c r="J88" s="609">
        <v>5000</v>
      </c>
      <c r="K88" s="287"/>
      <c r="L88" s="197">
        <f t="shared" si="39"/>
        <v>4300</v>
      </c>
      <c r="M88" s="287"/>
      <c r="N88" s="287"/>
      <c r="O88" s="609">
        <v>4300</v>
      </c>
      <c r="P88" s="287"/>
      <c r="Q88" s="197">
        <f t="shared" si="41"/>
        <v>200</v>
      </c>
      <c r="R88" s="287"/>
      <c r="S88" s="287"/>
      <c r="T88" s="609">
        <v>200</v>
      </c>
      <c r="U88" s="287"/>
      <c r="V88" s="287"/>
      <c r="W88" s="287"/>
      <c r="X88" s="608" t="s">
        <v>1067</v>
      </c>
      <c r="Y88" s="277"/>
      <c r="Z88" s="277"/>
      <c r="AA88" s="601" t="s">
        <v>905</v>
      </c>
      <c r="AB88" s="601"/>
      <c r="AC88" s="601"/>
    </row>
    <row r="89" spans="1:29" s="265" customFormat="1" ht="75" customHeight="1">
      <c r="A89" s="282"/>
      <c r="B89" s="606" t="s">
        <v>1076</v>
      </c>
      <c r="C89" s="607" t="s">
        <v>976</v>
      </c>
      <c r="D89" s="284"/>
      <c r="E89" s="284"/>
      <c r="F89" s="608" t="s">
        <v>1077</v>
      </c>
      <c r="G89" s="197">
        <f t="shared" si="40"/>
        <v>14000</v>
      </c>
      <c r="H89" s="287"/>
      <c r="I89" s="287"/>
      <c r="J89" s="609">
        <v>14000</v>
      </c>
      <c r="K89" s="287"/>
      <c r="L89" s="197">
        <f t="shared" si="39"/>
        <v>3500</v>
      </c>
      <c r="M89" s="287"/>
      <c r="N89" s="287"/>
      <c r="O89" s="609">
        <v>3500</v>
      </c>
      <c r="P89" s="287"/>
      <c r="Q89" s="197">
        <f t="shared" si="41"/>
        <v>9000</v>
      </c>
      <c r="R89" s="287"/>
      <c r="S89" s="287"/>
      <c r="T89" s="609">
        <v>9000</v>
      </c>
      <c r="U89" s="287"/>
      <c r="V89" s="287"/>
      <c r="W89" s="287"/>
      <c r="X89" s="608" t="s">
        <v>1067</v>
      </c>
      <c r="Y89" s="277"/>
      <c r="Z89" s="277"/>
      <c r="AA89" s="601" t="s">
        <v>905</v>
      </c>
      <c r="AB89" s="601"/>
      <c r="AC89" s="601"/>
    </row>
    <row r="90" spans="1:29" s="265" customFormat="1" ht="47.25" customHeight="1">
      <c r="A90" s="273" t="s">
        <v>49</v>
      </c>
      <c r="B90" s="612" t="s">
        <v>932</v>
      </c>
      <c r="C90" s="611"/>
      <c r="D90" s="251"/>
      <c r="E90" s="251"/>
      <c r="F90" s="612"/>
      <c r="G90" s="295">
        <f>SUM(G91)</f>
        <v>18000</v>
      </c>
      <c r="H90" s="295">
        <f t="shared" ref="H90:W90" si="42">SUM(H91)</f>
        <v>0</v>
      </c>
      <c r="I90" s="295">
        <f t="shared" si="42"/>
        <v>0</v>
      </c>
      <c r="J90" s="295">
        <f t="shared" si="42"/>
        <v>18000</v>
      </c>
      <c r="K90" s="295">
        <f t="shared" si="42"/>
        <v>0</v>
      </c>
      <c r="L90" s="295">
        <f t="shared" si="42"/>
        <v>16450</v>
      </c>
      <c r="M90" s="295">
        <f t="shared" si="42"/>
        <v>0</v>
      </c>
      <c r="N90" s="295">
        <f t="shared" si="42"/>
        <v>0</v>
      </c>
      <c r="O90" s="295">
        <f t="shared" si="42"/>
        <v>16450</v>
      </c>
      <c r="P90" s="295">
        <f t="shared" si="42"/>
        <v>0</v>
      </c>
      <c r="Q90" s="295">
        <f t="shared" si="42"/>
        <v>500</v>
      </c>
      <c r="R90" s="295">
        <f t="shared" si="42"/>
        <v>0</v>
      </c>
      <c r="S90" s="295">
        <f t="shared" si="42"/>
        <v>0</v>
      </c>
      <c r="T90" s="295">
        <f t="shared" si="42"/>
        <v>500</v>
      </c>
      <c r="U90" s="295">
        <f t="shared" si="42"/>
        <v>0</v>
      </c>
      <c r="V90" s="295">
        <f t="shared" si="42"/>
        <v>0</v>
      </c>
      <c r="W90" s="295">
        <f t="shared" si="42"/>
        <v>0</v>
      </c>
      <c r="X90" s="612"/>
      <c r="Y90" s="277"/>
      <c r="Z90" s="277"/>
      <c r="AA90" s="601"/>
      <c r="AB90" s="601"/>
      <c r="AC90" s="601"/>
    </row>
    <row r="91" spans="1:29" s="265" customFormat="1" ht="75" customHeight="1">
      <c r="A91" s="282"/>
      <c r="B91" s="606" t="s">
        <v>1078</v>
      </c>
      <c r="C91" s="607" t="s">
        <v>1079</v>
      </c>
      <c r="D91" s="284"/>
      <c r="E91" s="284"/>
      <c r="F91" s="608" t="s">
        <v>1080</v>
      </c>
      <c r="G91" s="197">
        <f t="shared" si="40"/>
        <v>18000</v>
      </c>
      <c r="H91" s="287"/>
      <c r="I91" s="287"/>
      <c r="J91" s="609">
        <v>18000</v>
      </c>
      <c r="K91" s="287"/>
      <c r="L91" s="197">
        <f t="shared" si="39"/>
        <v>16450</v>
      </c>
      <c r="M91" s="287"/>
      <c r="N91" s="287"/>
      <c r="O91" s="609">
        <v>16450</v>
      </c>
      <c r="P91" s="287"/>
      <c r="Q91" s="197">
        <f t="shared" si="41"/>
        <v>500</v>
      </c>
      <c r="R91" s="287"/>
      <c r="S91" s="287"/>
      <c r="T91" s="609">
        <v>500</v>
      </c>
      <c r="U91" s="287"/>
      <c r="V91" s="287"/>
      <c r="W91" s="287"/>
      <c r="X91" s="608" t="s">
        <v>1081</v>
      </c>
      <c r="Y91" s="277"/>
      <c r="Z91" s="277"/>
      <c r="AA91" s="601"/>
      <c r="AB91" s="601"/>
      <c r="AC91" s="601"/>
    </row>
    <row r="92" spans="1:29" s="265" customFormat="1" ht="75" customHeight="1">
      <c r="A92" s="273" t="s">
        <v>393</v>
      </c>
      <c r="B92" s="628" t="s">
        <v>1082</v>
      </c>
      <c r="C92" s="611"/>
      <c r="D92" s="251"/>
      <c r="E92" s="251"/>
      <c r="F92" s="612"/>
      <c r="G92" s="295">
        <f>G93</f>
        <v>210000</v>
      </c>
      <c r="H92" s="295">
        <f t="shared" ref="H92:W92" si="43">H93</f>
        <v>0</v>
      </c>
      <c r="I92" s="295">
        <f t="shared" si="43"/>
        <v>0</v>
      </c>
      <c r="J92" s="295">
        <f t="shared" si="43"/>
        <v>210000</v>
      </c>
      <c r="K92" s="295">
        <f t="shared" si="43"/>
        <v>0</v>
      </c>
      <c r="L92" s="295">
        <f t="shared" si="43"/>
        <v>38447</v>
      </c>
      <c r="M92" s="295">
        <f t="shared" si="43"/>
        <v>0</v>
      </c>
      <c r="N92" s="295">
        <f t="shared" si="43"/>
        <v>0</v>
      </c>
      <c r="O92" s="295">
        <f t="shared" si="43"/>
        <v>38447</v>
      </c>
      <c r="P92" s="295">
        <f t="shared" si="43"/>
        <v>0</v>
      </c>
      <c r="Q92" s="295">
        <f t="shared" si="43"/>
        <v>2600</v>
      </c>
      <c r="R92" s="295">
        <f t="shared" si="43"/>
        <v>1800</v>
      </c>
      <c r="S92" s="295">
        <f t="shared" si="43"/>
        <v>0</v>
      </c>
      <c r="T92" s="295">
        <f t="shared" si="43"/>
        <v>800</v>
      </c>
      <c r="U92" s="295">
        <f t="shared" si="43"/>
        <v>0</v>
      </c>
      <c r="V92" s="295">
        <f t="shared" si="43"/>
        <v>0</v>
      </c>
      <c r="W92" s="295">
        <f t="shared" si="43"/>
        <v>0</v>
      </c>
      <c r="X92" s="612"/>
      <c r="Y92" s="277"/>
      <c r="Z92" s="277"/>
      <c r="AA92" s="601"/>
      <c r="AB92" s="601"/>
      <c r="AC92" s="601"/>
    </row>
    <row r="93" spans="1:29" s="265" customFormat="1" ht="35.450000000000003" customHeight="1">
      <c r="A93" s="273" t="s">
        <v>97</v>
      </c>
      <c r="B93" s="610" t="s">
        <v>1067</v>
      </c>
      <c r="C93" s="251"/>
      <c r="D93" s="251"/>
      <c r="E93" s="251"/>
      <c r="F93" s="251"/>
      <c r="G93" s="253">
        <f>SUM(G94:G96)</f>
        <v>210000</v>
      </c>
      <c r="H93" s="253">
        <f t="shared" ref="H93:W93" si="44">SUM(H94:H96)</f>
        <v>0</v>
      </c>
      <c r="I93" s="253">
        <f t="shared" si="44"/>
        <v>0</v>
      </c>
      <c r="J93" s="253">
        <f t="shared" si="44"/>
        <v>210000</v>
      </c>
      <c r="K93" s="253">
        <f t="shared" si="44"/>
        <v>0</v>
      </c>
      <c r="L93" s="253">
        <f t="shared" si="44"/>
        <v>38447</v>
      </c>
      <c r="M93" s="253">
        <f t="shared" si="44"/>
        <v>0</v>
      </c>
      <c r="N93" s="253">
        <f t="shared" si="44"/>
        <v>0</v>
      </c>
      <c r="O93" s="253">
        <f t="shared" si="44"/>
        <v>38447</v>
      </c>
      <c r="P93" s="253">
        <f t="shared" si="44"/>
        <v>0</v>
      </c>
      <c r="Q93" s="253">
        <f>SUM(Q94:Q96)</f>
        <v>2600</v>
      </c>
      <c r="R93" s="253">
        <f t="shared" si="44"/>
        <v>1800</v>
      </c>
      <c r="S93" s="253">
        <f t="shared" si="44"/>
        <v>0</v>
      </c>
      <c r="T93" s="253">
        <f t="shared" si="44"/>
        <v>800</v>
      </c>
      <c r="U93" s="253">
        <f t="shared" si="44"/>
        <v>0</v>
      </c>
      <c r="V93" s="253">
        <f t="shared" si="44"/>
        <v>0</v>
      </c>
      <c r="W93" s="253">
        <f t="shared" si="44"/>
        <v>0</v>
      </c>
      <c r="X93" s="627"/>
      <c r="Y93" s="277"/>
      <c r="Z93" s="277"/>
      <c r="AA93" s="601"/>
      <c r="AB93" s="601"/>
      <c r="AC93" s="601"/>
    </row>
    <row r="94" spans="1:29" s="281" customFormat="1" ht="75.75" customHeight="1">
      <c r="A94" s="238"/>
      <c r="B94" s="606" t="s">
        <v>1083</v>
      </c>
      <c r="C94" s="607" t="s">
        <v>954</v>
      </c>
      <c r="D94" s="254"/>
      <c r="E94" s="254"/>
      <c r="F94" s="608" t="s">
        <v>1084</v>
      </c>
      <c r="G94" s="197">
        <f>SUM(H94:K94)</f>
        <v>32000</v>
      </c>
      <c r="H94" s="197"/>
      <c r="I94" s="197"/>
      <c r="J94" s="609">
        <v>32000</v>
      </c>
      <c r="K94" s="197"/>
      <c r="L94" s="197">
        <f>SUM(M94:P94)</f>
        <v>25000</v>
      </c>
      <c r="M94" s="197"/>
      <c r="N94" s="197"/>
      <c r="O94" s="609">
        <v>25000</v>
      </c>
      <c r="P94" s="197"/>
      <c r="Q94" s="181">
        <f>SUM(R94:W94)</f>
        <v>300</v>
      </c>
      <c r="R94" s="609">
        <v>300</v>
      </c>
      <c r="S94" s="197"/>
      <c r="T94" s="609"/>
      <c r="U94" s="197"/>
      <c r="V94" s="197"/>
      <c r="W94" s="197"/>
      <c r="X94" s="608" t="s">
        <v>1067</v>
      </c>
      <c r="Y94" s="232"/>
      <c r="Z94" s="232"/>
      <c r="AA94" s="597" t="s">
        <v>905</v>
      </c>
      <c r="AB94" s="596"/>
      <c r="AC94" s="596"/>
    </row>
    <row r="95" spans="1:29" s="265" customFormat="1" ht="75" customHeight="1">
      <c r="A95" s="282"/>
      <c r="B95" s="606" t="s">
        <v>1085</v>
      </c>
      <c r="C95" s="607" t="s">
        <v>1086</v>
      </c>
      <c r="D95" s="284"/>
      <c r="E95" s="284"/>
      <c r="F95" s="608" t="s">
        <v>1087</v>
      </c>
      <c r="G95" s="197">
        <f>SUM(H95:K95)</f>
        <v>12000</v>
      </c>
      <c r="H95" s="287"/>
      <c r="I95" s="287"/>
      <c r="J95" s="609">
        <v>12000</v>
      </c>
      <c r="K95" s="287"/>
      <c r="L95" s="197">
        <f t="shared" ref="L95" si="45">SUM(M95:P95)</f>
        <v>10000</v>
      </c>
      <c r="M95" s="287"/>
      <c r="N95" s="287"/>
      <c r="O95" s="609">
        <v>10000</v>
      </c>
      <c r="P95" s="287"/>
      <c r="Q95" s="197">
        <f>SUM(R95:W95)</f>
        <v>800</v>
      </c>
      <c r="R95" s="287"/>
      <c r="S95" s="287"/>
      <c r="T95" s="609">
        <v>800</v>
      </c>
      <c r="U95" s="287"/>
      <c r="V95" s="287"/>
      <c r="W95" s="287"/>
      <c r="X95" s="608" t="s">
        <v>1067</v>
      </c>
      <c r="Y95" s="277"/>
      <c r="Z95" s="277"/>
      <c r="AA95" s="601" t="s">
        <v>905</v>
      </c>
      <c r="AB95" s="601"/>
      <c r="AC95" s="601"/>
    </row>
    <row r="96" spans="1:29" s="281" customFormat="1" ht="96.75" customHeight="1">
      <c r="A96" s="238"/>
      <c r="B96" s="606" t="s">
        <v>1088</v>
      </c>
      <c r="C96" s="607" t="s">
        <v>1089</v>
      </c>
      <c r="D96" s="254"/>
      <c r="E96" s="254"/>
      <c r="F96" s="608" t="s">
        <v>1090</v>
      </c>
      <c r="G96" s="197">
        <f>SUM(H96:K96)</f>
        <v>166000</v>
      </c>
      <c r="H96" s="197"/>
      <c r="I96" s="197"/>
      <c r="J96" s="609">
        <v>166000</v>
      </c>
      <c r="K96" s="197"/>
      <c r="L96" s="197">
        <f>SUM(M96:P96)</f>
        <v>3447</v>
      </c>
      <c r="M96" s="197"/>
      <c r="N96" s="197"/>
      <c r="O96" s="609">
        <v>3447</v>
      </c>
      <c r="P96" s="197"/>
      <c r="Q96" s="181">
        <f>SUM(R96:W96)</f>
        <v>1500</v>
      </c>
      <c r="R96" s="609">
        <v>1500</v>
      </c>
      <c r="S96" s="197"/>
      <c r="T96" s="609"/>
      <c r="U96" s="197"/>
      <c r="V96" s="197"/>
      <c r="W96" s="197"/>
      <c r="X96" s="608" t="s">
        <v>1067</v>
      </c>
      <c r="Y96" s="232"/>
      <c r="Z96" s="232"/>
      <c r="AA96" s="597" t="s">
        <v>905</v>
      </c>
      <c r="AB96" s="596"/>
      <c r="AC96" s="596"/>
    </row>
    <row r="97" spans="1:29" s="281" customFormat="1" ht="30.75" customHeight="1">
      <c r="A97" s="557" t="s">
        <v>398</v>
      </c>
      <c r="B97" s="321" t="s">
        <v>401</v>
      </c>
      <c r="C97" s="280"/>
      <c r="D97" s="280"/>
      <c r="E97" s="280"/>
      <c r="F97" s="280"/>
      <c r="G97" s="295">
        <f t="shared" ref="G97:W97" si="46">G98+G101+G107+G110+G113+G115+G125+G161+G186+G193+G202+G227+G240+G253+G261+G264+G274+G310+G315+G325+G328+G334+G337+G339</f>
        <v>29480869.556299999</v>
      </c>
      <c r="H97" s="295">
        <f t="shared" si="46"/>
        <v>3212031</v>
      </c>
      <c r="I97" s="295">
        <f t="shared" si="46"/>
        <v>7120280</v>
      </c>
      <c r="J97" s="295">
        <f t="shared" si="46"/>
        <v>19144135.556299999</v>
      </c>
      <c r="K97" s="295">
        <f t="shared" si="46"/>
        <v>0</v>
      </c>
      <c r="L97" s="295">
        <f t="shared" si="46"/>
        <v>10352775.800000001</v>
      </c>
      <c r="M97" s="295">
        <f t="shared" si="46"/>
        <v>220191</v>
      </c>
      <c r="N97" s="295">
        <f t="shared" si="46"/>
        <v>2833706</v>
      </c>
      <c r="O97" s="295">
        <f t="shared" si="46"/>
        <v>7078878.7999999998</v>
      </c>
      <c r="P97" s="295">
        <f t="shared" si="46"/>
        <v>0</v>
      </c>
      <c r="Q97" s="295">
        <f t="shared" si="46"/>
        <v>4005484.4</v>
      </c>
      <c r="R97" s="295">
        <f t="shared" si="46"/>
        <v>590248</v>
      </c>
      <c r="S97" s="295">
        <f t="shared" si="46"/>
        <v>0</v>
      </c>
      <c r="T97" s="295">
        <f t="shared" si="46"/>
        <v>2748431.4</v>
      </c>
      <c r="U97" s="295">
        <f t="shared" si="46"/>
        <v>114000</v>
      </c>
      <c r="V97" s="295">
        <f t="shared" si="46"/>
        <v>404373</v>
      </c>
      <c r="W97" s="295">
        <f t="shared" si="46"/>
        <v>148432</v>
      </c>
      <c r="X97" s="238"/>
      <c r="Y97" s="232">
        <f t="shared" si="3"/>
        <v>9912584.8000000007</v>
      </c>
      <c r="Z97" s="232">
        <f t="shared" ref="Z97:Z227" si="47">L97-Y97</f>
        <v>440191</v>
      </c>
      <c r="AA97" s="596"/>
      <c r="AB97" s="596"/>
      <c r="AC97" s="596"/>
    </row>
    <row r="98" spans="1:29" s="298" customFormat="1" ht="28.15" customHeight="1">
      <c r="A98" s="557" t="s">
        <v>97</v>
      </c>
      <c r="B98" s="321" t="s">
        <v>912</v>
      </c>
      <c r="C98" s="321">
        <v>0</v>
      </c>
      <c r="D98" s="321"/>
      <c r="E98" s="321"/>
      <c r="F98" s="321">
        <v>0</v>
      </c>
      <c r="G98" s="295">
        <f>SUM(G99:G100)</f>
        <v>275968</v>
      </c>
      <c r="H98" s="295">
        <f t="shared" ref="H98:S98" si="48">SUM(H99:H100)</f>
        <v>0</v>
      </c>
      <c r="I98" s="295">
        <f t="shared" si="48"/>
        <v>0</v>
      </c>
      <c r="J98" s="295">
        <f t="shared" si="48"/>
        <v>275968</v>
      </c>
      <c r="K98" s="295">
        <f t="shared" si="48"/>
        <v>0</v>
      </c>
      <c r="L98" s="295">
        <f t="shared" si="48"/>
        <v>74884</v>
      </c>
      <c r="M98" s="295">
        <f t="shared" si="48"/>
        <v>0</v>
      </c>
      <c r="N98" s="295">
        <f t="shared" si="48"/>
        <v>0</v>
      </c>
      <c r="O98" s="295">
        <f t="shared" si="48"/>
        <v>74884</v>
      </c>
      <c r="P98" s="295">
        <f t="shared" si="48"/>
        <v>0</v>
      </c>
      <c r="Q98" s="295">
        <f t="shared" si="48"/>
        <v>186000</v>
      </c>
      <c r="R98" s="295">
        <f t="shared" si="48"/>
        <v>0</v>
      </c>
      <c r="S98" s="295">
        <f t="shared" si="48"/>
        <v>0</v>
      </c>
      <c r="T98" s="295">
        <f>SUM(T99:T100)</f>
        <v>186000</v>
      </c>
      <c r="U98" s="295">
        <f t="shared" ref="U98:W98" si="49">SUM(U99:U100)</f>
        <v>0</v>
      </c>
      <c r="V98" s="295">
        <f t="shared" si="49"/>
        <v>0</v>
      </c>
      <c r="W98" s="295">
        <f t="shared" si="49"/>
        <v>0</v>
      </c>
      <c r="X98" s="238">
        <v>0</v>
      </c>
      <c r="Y98" s="232">
        <f t="shared" si="3"/>
        <v>74884</v>
      </c>
      <c r="Z98" s="232">
        <f t="shared" si="47"/>
        <v>0</v>
      </c>
      <c r="AA98" s="597"/>
      <c r="AB98" s="597"/>
      <c r="AC98" s="597"/>
    </row>
    <row r="99" spans="1:29" s="298" customFormat="1" ht="75">
      <c r="A99" s="254">
        <v>1</v>
      </c>
      <c r="B99" s="606" t="s">
        <v>749</v>
      </c>
      <c r="C99" s="607" t="s">
        <v>947</v>
      </c>
      <c r="D99" s="321"/>
      <c r="E99" s="321"/>
      <c r="F99" s="608" t="s">
        <v>750</v>
      </c>
      <c r="G99" s="197">
        <f t="shared" ref="G99:G109" si="50">SUM(H99:K99)</f>
        <v>258302</v>
      </c>
      <c r="H99" s="259"/>
      <c r="I99" s="253"/>
      <c r="J99" s="609">
        <v>258302</v>
      </c>
      <c r="K99" s="253"/>
      <c r="L99" s="197">
        <f t="shared" ref="L99:L109" si="51">SUM(M99:P99)</f>
        <v>74884</v>
      </c>
      <c r="M99" s="197"/>
      <c r="N99" s="253"/>
      <c r="O99" s="609">
        <v>74884</v>
      </c>
      <c r="P99" s="253"/>
      <c r="Q99" s="181">
        <f t="shared" ref="Q99:Q100" si="52">SUM(R99:W99)</f>
        <v>170000</v>
      </c>
      <c r="R99" s="197"/>
      <c r="S99" s="197"/>
      <c r="T99" s="609">
        <v>170000</v>
      </c>
      <c r="U99" s="253"/>
      <c r="V99" s="253"/>
      <c r="W99" s="253"/>
      <c r="X99" s="238" t="s">
        <v>912</v>
      </c>
      <c r="Y99" s="232"/>
      <c r="Z99" s="232"/>
      <c r="AA99" s="597"/>
      <c r="AB99" s="597"/>
      <c r="AC99" s="597"/>
    </row>
    <row r="100" spans="1:29" s="298" customFormat="1" ht="93.75">
      <c r="A100" s="254">
        <v>2</v>
      </c>
      <c r="B100" s="606" t="s">
        <v>1091</v>
      </c>
      <c r="C100" s="607" t="s">
        <v>947</v>
      </c>
      <c r="D100" s="321"/>
      <c r="E100" s="321"/>
      <c r="F100" s="608" t="s">
        <v>1092</v>
      </c>
      <c r="G100" s="197">
        <f t="shared" si="50"/>
        <v>17666</v>
      </c>
      <c r="H100" s="259"/>
      <c r="I100" s="253"/>
      <c r="J100" s="609">
        <v>17666</v>
      </c>
      <c r="K100" s="253"/>
      <c r="L100" s="197">
        <f t="shared" si="51"/>
        <v>0</v>
      </c>
      <c r="M100" s="197"/>
      <c r="N100" s="253"/>
      <c r="O100" s="325"/>
      <c r="P100" s="253"/>
      <c r="Q100" s="181">
        <f t="shared" si="52"/>
        <v>16000</v>
      </c>
      <c r="R100" s="197"/>
      <c r="S100" s="197"/>
      <c r="T100" s="609">
        <v>16000</v>
      </c>
      <c r="U100" s="253"/>
      <c r="V100" s="253"/>
      <c r="W100" s="253"/>
      <c r="X100" s="238" t="s">
        <v>912</v>
      </c>
      <c r="Y100" s="232"/>
      <c r="Z100" s="232"/>
      <c r="AA100" s="597"/>
      <c r="AB100" s="597"/>
      <c r="AC100" s="597"/>
    </row>
    <row r="101" spans="1:29" s="574" customFormat="1" ht="18.75">
      <c r="A101" s="557" t="s">
        <v>49</v>
      </c>
      <c r="B101" s="610" t="s">
        <v>536</v>
      </c>
      <c r="C101" s="629"/>
      <c r="D101" s="630"/>
      <c r="E101" s="630"/>
      <c r="F101" s="610"/>
      <c r="G101" s="295">
        <f>SUM(G102:G106)</f>
        <v>151400</v>
      </c>
      <c r="H101" s="295">
        <f t="shared" ref="H101:W101" si="53">SUM(H102:H106)</f>
        <v>0</v>
      </c>
      <c r="I101" s="295">
        <f t="shared" si="53"/>
        <v>0</v>
      </c>
      <c r="J101" s="295">
        <f t="shared" si="53"/>
        <v>151400</v>
      </c>
      <c r="K101" s="295">
        <f t="shared" si="53"/>
        <v>0</v>
      </c>
      <c r="L101" s="295">
        <f t="shared" si="53"/>
        <v>87135</v>
      </c>
      <c r="M101" s="295">
        <f t="shared" si="53"/>
        <v>0</v>
      </c>
      <c r="N101" s="295">
        <f t="shared" si="53"/>
        <v>0</v>
      </c>
      <c r="O101" s="295">
        <f t="shared" si="53"/>
        <v>87135</v>
      </c>
      <c r="P101" s="295">
        <f t="shared" si="53"/>
        <v>0</v>
      </c>
      <c r="Q101" s="295">
        <f t="shared" si="53"/>
        <v>57539</v>
      </c>
      <c r="R101" s="295">
        <f t="shared" si="53"/>
        <v>18800</v>
      </c>
      <c r="S101" s="295">
        <f t="shared" si="53"/>
        <v>0</v>
      </c>
      <c r="T101" s="295">
        <f>SUM(T102:T106)</f>
        <v>38739</v>
      </c>
      <c r="U101" s="295">
        <f t="shared" si="53"/>
        <v>0</v>
      </c>
      <c r="V101" s="295">
        <f t="shared" si="53"/>
        <v>0</v>
      </c>
      <c r="W101" s="295">
        <f t="shared" si="53"/>
        <v>0</v>
      </c>
      <c r="X101" s="630"/>
      <c r="Y101" s="573"/>
      <c r="Z101" s="573"/>
      <c r="AA101" s="599"/>
      <c r="AB101" s="599"/>
      <c r="AC101" s="599"/>
    </row>
    <row r="102" spans="1:29" s="298" customFormat="1" ht="89.25" customHeight="1">
      <c r="A102" s="254"/>
      <c r="B102" s="606" t="s">
        <v>1093</v>
      </c>
      <c r="C102" s="607" t="s">
        <v>947</v>
      </c>
      <c r="D102" s="321"/>
      <c r="E102" s="321"/>
      <c r="F102" s="608" t="s">
        <v>1094</v>
      </c>
      <c r="G102" s="197">
        <f t="shared" si="50"/>
        <v>60000</v>
      </c>
      <c r="H102" s="259"/>
      <c r="I102" s="253"/>
      <c r="J102" s="609">
        <v>60000</v>
      </c>
      <c r="K102" s="253"/>
      <c r="L102" s="197">
        <f t="shared" si="51"/>
        <v>47635</v>
      </c>
      <c r="M102" s="197"/>
      <c r="N102" s="253"/>
      <c r="O102" s="609">
        <v>47635</v>
      </c>
      <c r="P102" s="253"/>
      <c r="Q102" s="181">
        <f>SUM(R102:W102)</f>
        <v>9239</v>
      </c>
      <c r="R102" s="609">
        <f>5000-761-439</f>
        <v>3800</v>
      </c>
      <c r="S102" s="197"/>
      <c r="T102" s="609">
        <v>5439</v>
      </c>
      <c r="U102" s="253"/>
      <c r="V102" s="253"/>
      <c r="W102" s="253"/>
      <c r="X102" s="608" t="s">
        <v>536</v>
      </c>
      <c r="Y102" s="232"/>
      <c r="Z102" s="232"/>
      <c r="AA102" s="597"/>
      <c r="AB102" s="597"/>
      <c r="AC102" s="597"/>
    </row>
    <row r="103" spans="1:29" s="298" customFormat="1" ht="64.5" customHeight="1">
      <c r="A103" s="254"/>
      <c r="B103" s="606" t="s">
        <v>1095</v>
      </c>
      <c r="C103" s="607" t="s">
        <v>947</v>
      </c>
      <c r="D103" s="321"/>
      <c r="E103" s="321"/>
      <c r="F103" s="608" t="s">
        <v>1096</v>
      </c>
      <c r="G103" s="197">
        <f t="shared" si="50"/>
        <v>29000</v>
      </c>
      <c r="H103" s="259"/>
      <c r="I103" s="253"/>
      <c r="J103" s="609">
        <v>29000</v>
      </c>
      <c r="K103" s="253"/>
      <c r="L103" s="197">
        <f t="shared" si="51"/>
        <v>12000</v>
      </c>
      <c r="M103" s="197"/>
      <c r="N103" s="253"/>
      <c r="O103" s="609">
        <v>12000</v>
      </c>
      <c r="P103" s="253"/>
      <c r="Q103" s="181">
        <f t="shared" ref="Q103:Q106" si="54">SUM(R103:W103)</f>
        <v>17000</v>
      </c>
      <c r="R103" s="609">
        <v>15000</v>
      </c>
      <c r="S103" s="197"/>
      <c r="T103" s="609">
        <v>2000</v>
      </c>
      <c r="U103" s="253"/>
      <c r="V103" s="253"/>
      <c r="W103" s="253"/>
      <c r="X103" s="608" t="s">
        <v>536</v>
      </c>
      <c r="Y103" s="232"/>
      <c r="Z103" s="232"/>
      <c r="AA103" s="597"/>
      <c r="AB103" s="597"/>
      <c r="AC103" s="597"/>
    </row>
    <row r="104" spans="1:29" s="298" customFormat="1" ht="150" customHeight="1">
      <c r="A104" s="254"/>
      <c r="B104" s="606" t="s">
        <v>1097</v>
      </c>
      <c r="C104" s="607" t="s">
        <v>947</v>
      </c>
      <c r="D104" s="321"/>
      <c r="E104" s="321"/>
      <c r="F104" s="608" t="s">
        <v>1098</v>
      </c>
      <c r="G104" s="197">
        <f t="shared" si="50"/>
        <v>39700</v>
      </c>
      <c r="H104" s="259"/>
      <c r="I104" s="253"/>
      <c r="J104" s="609">
        <v>39700</v>
      </c>
      <c r="K104" s="253"/>
      <c r="L104" s="197">
        <f t="shared" si="51"/>
        <v>15000</v>
      </c>
      <c r="M104" s="197"/>
      <c r="N104" s="253"/>
      <c r="O104" s="609">
        <v>15000</v>
      </c>
      <c r="P104" s="253"/>
      <c r="Q104" s="181">
        <f t="shared" si="54"/>
        <v>22000</v>
      </c>
      <c r="R104" s="609"/>
      <c r="S104" s="197"/>
      <c r="T104" s="609">
        <v>22000</v>
      </c>
      <c r="U104" s="253"/>
      <c r="V104" s="253"/>
      <c r="W104" s="253"/>
      <c r="X104" s="608" t="s">
        <v>536</v>
      </c>
      <c r="Y104" s="232"/>
      <c r="Z104" s="232"/>
      <c r="AA104" s="597"/>
      <c r="AB104" s="597"/>
      <c r="AC104" s="597"/>
    </row>
    <row r="105" spans="1:29" s="298" customFormat="1" ht="168.75">
      <c r="A105" s="254"/>
      <c r="B105" s="606" t="s">
        <v>1099</v>
      </c>
      <c r="C105" s="607" t="s">
        <v>947</v>
      </c>
      <c r="D105" s="321"/>
      <c r="E105" s="321"/>
      <c r="F105" s="608" t="s">
        <v>1100</v>
      </c>
      <c r="G105" s="197">
        <f t="shared" si="50"/>
        <v>17900</v>
      </c>
      <c r="H105" s="259"/>
      <c r="I105" s="253"/>
      <c r="J105" s="609">
        <v>17900</v>
      </c>
      <c r="K105" s="253"/>
      <c r="L105" s="197">
        <f t="shared" si="51"/>
        <v>9000</v>
      </c>
      <c r="M105" s="197"/>
      <c r="N105" s="253"/>
      <c r="O105" s="609">
        <v>9000</v>
      </c>
      <c r="P105" s="253"/>
      <c r="Q105" s="181">
        <f t="shared" si="54"/>
        <v>8000</v>
      </c>
      <c r="R105" s="609"/>
      <c r="S105" s="197"/>
      <c r="T105" s="609">
        <v>8000</v>
      </c>
      <c r="U105" s="253"/>
      <c r="V105" s="253"/>
      <c r="W105" s="253"/>
      <c r="X105" s="608" t="s">
        <v>536</v>
      </c>
      <c r="Y105" s="232"/>
      <c r="Z105" s="232"/>
      <c r="AA105" s="597"/>
      <c r="AB105" s="597"/>
      <c r="AC105" s="597"/>
    </row>
    <row r="106" spans="1:29" s="298" customFormat="1" ht="56.25">
      <c r="A106" s="254"/>
      <c r="B106" s="631" t="s">
        <v>1101</v>
      </c>
      <c r="C106" s="632" t="s">
        <v>947</v>
      </c>
      <c r="D106" s="321"/>
      <c r="E106" s="321"/>
      <c r="F106" s="632" t="s">
        <v>1102</v>
      </c>
      <c r="G106" s="197">
        <f t="shared" si="50"/>
        <v>4800</v>
      </c>
      <c r="H106" s="259"/>
      <c r="I106" s="253"/>
      <c r="J106" s="633">
        <v>4800</v>
      </c>
      <c r="K106" s="253"/>
      <c r="L106" s="197">
        <f t="shared" si="51"/>
        <v>3500</v>
      </c>
      <c r="M106" s="197"/>
      <c r="N106" s="253"/>
      <c r="O106" s="633">
        <v>3500</v>
      </c>
      <c r="P106" s="253"/>
      <c r="Q106" s="181">
        <f t="shared" si="54"/>
        <v>1300</v>
      </c>
      <c r="R106" s="609"/>
      <c r="S106" s="197"/>
      <c r="T106" s="609">
        <v>1300</v>
      </c>
      <c r="U106" s="253"/>
      <c r="V106" s="253"/>
      <c r="W106" s="253"/>
      <c r="X106" s="608" t="s">
        <v>536</v>
      </c>
      <c r="Y106" s="232"/>
      <c r="Z106" s="232"/>
      <c r="AA106" s="597"/>
      <c r="AB106" s="597"/>
      <c r="AC106" s="597"/>
    </row>
    <row r="107" spans="1:29" s="298" customFormat="1" ht="33" customHeight="1">
      <c r="A107" s="557" t="s">
        <v>22</v>
      </c>
      <c r="B107" s="610" t="s">
        <v>913</v>
      </c>
      <c r="C107" s="612"/>
      <c r="D107" s="321"/>
      <c r="E107" s="321"/>
      <c r="F107" s="612"/>
      <c r="G107" s="295">
        <f>SUM(G108:G109)</f>
        <v>532667</v>
      </c>
      <c r="H107" s="295">
        <f t="shared" ref="H107:W107" si="55">SUM(H108:H109)</f>
        <v>0</v>
      </c>
      <c r="I107" s="295">
        <f t="shared" si="55"/>
        <v>0</v>
      </c>
      <c r="J107" s="295">
        <f t="shared" si="55"/>
        <v>532667</v>
      </c>
      <c r="K107" s="295">
        <f t="shared" si="55"/>
        <v>0</v>
      </c>
      <c r="L107" s="295">
        <f t="shared" si="55"/>
        <v>412044</v>
      </c>
      <c r="M107" s="295">
        <f t="shared" si="55"/>
        <v>0</v>
      </c>
      <c r="N107" s="295">
        <f t="shared" si="55"/>
        <v>0</v>
      </c>
      <c r="O107" s="295">
        <f t="shared" si="55"/>
        <v>412044</v>
      </c>
      <c r="P107" s="295">
        <f t="shared" si="55"/>
        <v>0</v>
      </c>
      <c r="Q107" s="295">
        <f t="shared" si="55"/>
        <v>48900</v>
      </c>
      <c r="R107" s="295">
        <f t="shared" si="55"/>
        <v>0</v>
      </c>
      <c r="S107" s="295">
        <f t="shared" si="55"/>
        <v>0</v>
      </c>
      <c r="T107" s="295">
        <f>SUM(T108:T109)</f>
        <v>48900</v>
      </c>
      <c r="U107" s="295">
        <f t="shared" si="55"/>
        <v>0</v>
      </c>
      <c r="V107" s="295">
        <f t="shared" si="55"/>
        <v>0</v>
      </c>
      <c r="W107" s="295">
        <f t="shared" si="55"/>
        <v>0</v>
      </c>
      <c r="X107" s="612"/>
      <c r="Y107" s="297"/>
      <c r="Z107" s="297"/>
      <c r="AA107" s="597"/>
      <c r="AB107" s="597"/>
      <c r="AC107" s="597"/>
    </row>
    <row r="108" spans="1:29" s="281" customFormat="1" ht="108.75" customHeight="1">
      <c r="A108" s="557"/>
      <c r="B108" s="606" t="s">
        <v>1103</v>
      </c>
      <c r="C108" s="607" t="s">
        <v>947</v>
      </c>
      <c r="D108" s="280"/>
      <c r="E108" s="280"/>
      <c r="F108" s="608" t="s">
        <v>1104</v>
      </c>
      <c r="G108" s="197">
        <f t="shared" si="50"/>
        <v>6067</v>
      </c>
      <c r="H108" s="295"/>
      <c r="I108" s="295"/>
      <c r="J108" s="609">
        <v>6067</v>
      </c>
      <c r="K108" s="295"/>
      <c r="L108" s="197">
        <f t="shared" si="51"/>
        <v>2100</v>
      </c>
      <c r="M108" s="295"/>
      <c r="N108" s="295"/>
      <c r="O108" s="609">
        <v>2100</v>
      </c>
      <c r="P108" s="295"/>
      <c r="Q108" s="197">
        <f>SUM(R108:W108)</f>
        <v>3900</v>
      </c>
      <c r="R108" s="295"/>
      <c r="S108" s="295"/>
      <c r="T108" s="609">
        <v>3900</v>
      </c>
      <c r="U108" s="295"/>
      <c r="V108" s="295"/>
      <c r="W108" s="295"/>
      <c r="X108" s="621" t="s">
        <v>913</v>
      </c>
      <c r="Y108" s="232"/>
      <c r="Z108" s="232"/>
      <c r="AA108" s="596"/>
      <c r="AB108" s="596"/>
      <c r="AC108" s="596"/>
    </row>
    <row r="109" spans="1:29" s="281" customFormat="1" ht="108.75" customHeight="1">
      <c r="A109" s="557"/>
      <c r="B109" s="606" t="s">
        <v>178</v>
      </c>
      <c r="C109" s="607" t="s">
        <v>947</v>
      </c>
      <c r="D109" s="280"/>
      <c r="E109" s="280"/>
      <c r="F109" s="608" t="s">
        <v>1105</v>
      </c>
      <c r="G109" s="197">
        <f t="shared" si="50"/>
        <v>526600</v>
      </c>
      <c r="H109" s="295"/>
      <c r="I109" s="295"/>
      <c r="J109" s="609">
        <v>526600</v>
      </c>
      <c r="K109" s="295"/>
      <c r="L109" s="197">
        <f t="shared" si="51"/>
        <v>409944</v>
      </c>
      <c r="M109" s="295"/>
      <c r="N109" s="295"/>
      <c r="O109" s="609">
        <v>409944</v>
      </c>
      <c r="P109" s="295"/>
      <c r="Q109" s="197">
        <f>SUM(R109:W109)</f>
        <v>45000</v>
      </c>
      <c r="R109" s="295"/>
      <c r="S109" s="295"/>
      <c r="T109" s="609">
        <v>45000</v>
      </c>
      <c r="U109" s="295"/>
      <c r="V109" s="295"/>
      <c r="W109" s="295"/>
      <c r="X109" s="621" t="s">
        <v>913</v>
      </c>
      <c r="Y109" s="232"/>
      <c r="Z109" s="232"/>
      <c r="AA109" s="596"/>
      <c r="AB109" s="596"/>
      <c r="AC109" s="596"/>
    </row>
    <row r="110" spans="1:29" s="298" customFormat="1" ht="32.25" customHeight="1">
      <c r="A110" s="557" t="s">
        <v>24</v>
      </c>
      <c r="B110" s="628" t="s">
        <v>914</v>
      </c>
      <c r="C110" s="611"/>
      <c r="D110" s="321"/>
      <c r="E110" s="321"/>
      <c r="F110" s="612"/>
      <c r="G110" s="295">
        <f>SUM(G111:G112)</f>
        <v>12751</v>
      </c>
      <c r="H110" s="295">
        <f t="shared" ref="H110:W110" si="56">SUM(H111:H112)</f>
        <v>0</v>
      </c>
      <c r="I110" s="295">
        <f t="shared" si="56"/>
        <v>0</v>
      </c>
      <c r="J110" s="295">
        <f t="shared" si="56"/>
        <v>12751</v>
      </c>
      <c r="K110" s="295">
        <f t="shared" si="56"/>
        <v>0</v>
      </c>
      <c r="L110" s="295">
        <f t="shared" si="56"/>
        <v>7000</v>
      </c>
      <c r="M110" s="295">
        <f t="shared" si="56"/>
        <v>0</v>
      </c>
      <c r="N110" s="295">
        <f t="shared" si="56"/>
        <v>0</v>
      </c>
      <c r="O110" s="295">
        <f t="shared" si="56"/>
        <v>7000</v>
      </c>
      <c r="P110" s="295">
        <f t="shared" si="56"/>
        <v>0</v>
      </c>
      <c r="Q110" s="295">
        <f t="shared" si="56"/>
        <v>6571</v>
      </c>
      <c r="R110" s="295">
        <f t="shared" si="56"/>
        <v>6571</v>
      </c>
      <c r="S110" s="295">
        <f t="shared" si="56"/>
        <v>0</v>
      </c>
      <c r="T110" s="295">
        <f t="shared" si="56"/>
        <v>0</v>
      </c>
      <c r="U110" s="295">
        <f t="shared" si="56"/>
        <v>0</v>
      </c>
      <c r="V110" s="295">
        <f t="shared" si="56"/>
        <v>0</v>
      </c>
      <c r="W110" s="295">
        <f t="shared" si="56"/>
        <v>0</v>
      </c>
      <c r="X110" s="612"/>
      <c r="Y110" s="297"/>
      <c r="Z110" s="297"/>
      <c r="AA110" s="597"/>
      <c r="AB110" s="597"/>
      <c r="AC110" s="597"/>
    </row>
    <row r="111" spans="1:29" s="298" customFormat="1" ht="54" customHeight="1">
      <c r="A111" s="557"/>
      <c r="B111" s="634" t="s">
        <v>430</v>
      </c>
      <c r="C111" s="611"/>
      <c r="D111" s="321"/>
      <c r="E111" s="321"/>
      <c r="F111" s="612"/>
      <c r="G111" s="295"/>
      <c r="H111" s="295"/>
      <c r="I111" s="295"/>
      <c r="J111" s="295"/>
      <c r="K111" s="295"/>
      <c r="L111" s="295"/>
      <c r="M111" s="295"/>
      <c r="N111" s="295"/>
      <c r="O111" s="295"/>
      <c r="P111" s="295"/>
      <c r="Q111" s="197">
        <f>SUM(R111:W111)</f>
        <v>1000</v>
      </c>
      <c r="R111" s="197">
        <v>1000</v>
      </c>
      <c r="S111" s="295"/>
      <c r="T111" s="295"/>
      <c r="U111" s="295"/>
      <c r="V111" s="295"/>
      <c r="W111" s="295"/>
      <c r="X111" s="635" t="s">
        <v>914</v>
      </c>
      <c r="Y111" s="297"/>
      <c r="Z111" s="297"/>
      <c r="AA111" s="597"/>
      <c r="AB111" s="597"/>
      <c r="AC111" s="597"/>
    </row>
    <row r="112" spans="1:29" s="281" customFormat="1" ht="65.25" customHeight="1">
      <c r="A112" s="557"/>
      <c r="B112" s="606" t="s">
        <v>1106</v>
      </c>
      <c r="C112" s="607" t="s">
        <v>947</v>
      </c>
      <c r="D112" s="280"/>
      <c r="E112" s="280"/>
      <c r="F112" s="608" t="s">
        <v>1107</v>
      </c>
      <c r="G112" s="197">
        <f t="shared" ref="G112:G114" si="57">SUM(H112:K112)</f>
        <v>12751</v>
      </c>
      <c r="H112" s="295"/>
      <c r="I112" s="295"/>
      <c r="J112" s="609">
        <v>12751</v>
      </c>
      <c r="K112" s="295"/>
      <c r="L112" s="197">
        <f t="shared" ref="L112:L114" si="58">SUM(M112:P112)</f>
        <v>7000</v>
      </c>
      <c r="M112" s="295"/>
      <c r="N112" s="295"/>
      <c r="O112" s="609">
        <v>7000</v>
      </c>
      <c r="P112" s="295"/>
      <c r="Q112" s="197">
        <f>SUM(R112:W112)</f>
        <v>5571</v>
      </c>
      <c r="R112" s="609">
        <v>5571</v>
      </c>
      <c r="S112" s="295"/>
      <c r="T112" s="609"/>
      <c r="U112" s="295"/>
      <c r="V112" s="295"/>
      <c r="W112" s="295"/>
      <c r="X112" s="621" t="s">
        <v>914</v>
      </c>
      <c r="Y112" s="232"/>
      <c r="Z112" s="232"/>
      <c r="AA112" s="596"/>
      <c r="AB112" s="596"/>
      <c r="AC112" s="596"/>
    </row>
    <row r="113" spans="1:29" s="281" customFormat="1" ht="32.25" customHeight="1">
      <c r="A113" s="557" t="s">
        <v>25</v>
      </c>
      <c r="B113" s="636" t="s">
        <v>915</v>
      </c>
      <c r="C113" s="611"/>
      <c r="D113" s="321"/>
      <c r="E113" s="321"/>
      <c r="F113" s="612"/>
      <c r="G113" s="295">
        <f>SUM(G114)</f>
        <v>771</v>
      </c>
      <c r="H113" s="295">
        <f t="shared" ref="H113:W113" si="59">SUM(H114)</f>
        <v>0</v>
      </c>
      <c r="I113" s="295">
        <f t="shared" si="59"/>
        <v>0</v>
      </c>
      <c r="J113" s="295">
        <f t="shared" si="59"/>
        <v>771</v>
      </c>
      <c r="K113" s="295">
        <f t="shared" si="59"/>
        <v>0</v>
      </c>
      <c r="L113" s="295">
        <f t="shared" si="59"/>
        <v>200</v>
      </c>
      <c r="M113" s="295">
        <f t="shared" si="59"/>
        <v>0</v>
      </c>
      <c r="N113" s="295">
        <f t="shared" si="59"/>
        <v>0</v>
      </c>
      <c r="O113" s="295">
        <f t="shared" si="59"/>
        <v>200</v>
      </c>
      <c r="P113" s="295">
        <f t="shared" si="59"/>
        <v>0</v>
      </c>
      <c r="Q113" s="295">
        <f t="shared" si="59"/>
        <v>500</v>
      </c>
      <c r="R113" s="295">
        <f t="shared" si="59"/>
        <v>0</v>
      </c>
      <c r="S113" s="295">
        <f t="shared" si="59"/>
        <v>0</v>
      </c>
      <c r="T113" s="295">
        <f t="shared" si="59"/>
        <v>500</v>
      </c>
      <c r="U113" s="295">
        <f t="shared" si="59"/>
        <v>0</v>
      </c>
      <c r="V113" s="295">
        <f t="shared" si="59"/>
        <v>0</v>
      </c>
      <c r="W113" s="295">
        <f t="shared" si="59"/>
        <v>0</v>
      </c>
      <c r="X113" s="612"/>
      <c r="Y113" s="232"/>
      <c r="Z113" s="232"/>
      <c r="AA113" s="596"/>
      <c r="AB113" s="596"/>
      <c r="AC113" s="596"/>
    </row>
    <row r="114" spans="1:29" s="281" customFormat="1" ht="84.75" customHeight="1">
      <c r="A114" s="557"/>
      <c r="B114" s="631" t="s">
        <v>1108</v>
      </c>
      <c r="C114" s="632" t="s">
        <v>947</v>
      </c>
      <c r="D114" s="280"/>
      <c r="E114" s="280"/>
      <c r="F114" s="637" t="s">
        <v>1109</v>
      </c>
      <c r="G114" s="197">
        <f t="shared" si="57"/>
        <v>771</v>
      </c>
      <c r="H114" s="295"/>
      <c r="I114" s="295"/>
      <c r="J114" s="633">
        <v>771</v>
      </c>
      <c r="K114" s="295"/>
      <c r="L114" s="197">
        <f t="shared" si="58"/>
        <v>200</v>
      </c>
      <c r="M114" s="295"/>
      <c r="N114" s="295"/>
      <c r="O114" s="633">
        <v>200</v>
      </c>
      <c r="P114" s="295"/>
      <c r="Q114" s="197">
        <f>SUM(R114:W114)</f>
        <v>500</v>
      </c>
      <c r="R114" s="609"/>
      <c r="S114" s="295"/>
      <c r="T114" s="609">
        <v>500</v>
      </c>
      <c r="U114" s="295"/>
      <c r="V114" s="295"/>
      <c r="W114" s="295"/>
      <c r="X114" s="632" t="s">
        <v>915</v>
      </c>
      <c r="Y114" s="232"/>
      <c r="Z114" s="232"/>
      <c r="AA114" s="596"/>
      <c r="AB114" s="596"/>
      <c r="AC114" s="596"/>
    </row>
    <row r="115" spans="1:29" s="298" customFormat="1" ht="37.9" customHeight="1">
      <c r="A115" s="557" t="s">
        <v>26</v>
      </c>
      <c r="B115" s="321" t="s">
        <v>922</v>
      </c>
      <c r="C115" s="321"/>
      <c r="D115" s="321"/>
      <c r="E115" s="321"/>
      <c r="F115" s="321"/>
      <c r="G115" s="295">
        <f>SUM(G116:G124)</f>
        <v>6729922</v>
      </c>
      <c r="H115" s="295">
        <f t="shared" ref="H115:W115" si="60">SUM(H116:H124)</f>
        <v>863891</v>
      </c>
      <c r="I115" s="295">
        <f t="shared" si="60"/>
        <v>2002000</v>
      </c>
      <c r="J115" s="295">
        <f t="shared" si="60"/>
        <v>3864031</v>
      </c>
      <c r="K115" s="295">
        <f t="shared" si="60"/>
        <v>0</v>
      </c>
      <c r="L115" s="295">
        <f t="shared" si="60"/>
        <v>454653</v>
      </c>
      <c r="M115" s="295">
        <f t="shared" si="60"/>
        <v>220191</v>
      </c>
      <c r="N115" s="295">
        <f t="shared" si="60"/>
        <v>82857</v>
      </c>
      <c r="O115" s="295">
        <f t="shared" si="60"/>
        <v>151605</v>
      </c>
      <c r="P115" s="295">
        <f t="shared" si="60"/>
        <v>0</v>
      </c>
      <c r="Q115" s="295">
        <f>SUM(Q116:Q124)</f>
        <v>886535</v>
      </c>
      <c r="R115" s="295">
        <f t="shared" si="60"/>
        <v>53000</v>
      </c>
      <c r="S115" s="295">
        <f t="shared" si="60"/>
        <v>0</v>
      </c>
      <c r="T115" s="295">
        <f t="shared" si="60"/>
        <v>402000</v>
      </c>
      <c r="U115" s="295">
        <f t="shared" si="60"/>
        <v>114000</v>
      </c>
      <c r="V115" s="295">
        <f t="shared" si="60"/>
        <v>286738</v>
      </c>
      <c r="W115" s="295">
        <f t="shared" si="60"/>
        <v>30797</v>
      </c>
      <c r="X115" s="238"/>
      <c r="Y115" s="232">
        <f t="shared" si="3"/>
        <v>234462</v>
      </c>
      <c r="Z115" s="232">
        <f t="shared" si="47"/>
        <v>220191</v>
      </c>
      <c r="AA115" s="597"/>
      <c r="AB115" s="597"/>
      <c r="AC115" s="597"/>
    </row>
    <row r="116" spans="1:29" s="281" customFormat="1" ht="54" customHeight="1">
      <c r="A116" s="254">
        <v>1</v>
      </c>
      <c r="B116" s="278" t="s">
        <v>597</v>
      </c>
      <c r="C116" s="638" t="s">
        <v>947</v>
      </c>
      <c r="D116" s="254"/>
      <c r="E116" s="254"/>
      <c r="F116" s="256" t="s">
        <v>748</v>
      </c>
      <c r="G116" s="197">
        <f t="shared" ref="G116" si="61">SUM(H116:K116)</f>
        <v>370000</v>
      </c>
      <c r="H116" s="197"/>
      <c r="I116" s="197">
        <v>370000</v>
      </c>
      <c r="J116" s="197"/>
      <c r="K116" s="197"/>
      <c r="L116" s="197">
        <f t="shared" ref="L116:L117" si="62">SUM(M116:P116)</f>
        <v>82857</v>
      </c>
      <c r="M116" s="197"/>
      <c r="N116" s="197">
        <v>82857</v>
      </c>
      <c r="O116" s="197"/>
      <c r="P116" s="197"/>
      <c r="Q116" s="181">
        <f t="shared" ref="Q116" si="63">SUM(R116:W116)</f>
        <v>114000</v>
      </c>
      <c r="R116" s="197"/>
      <c r="S116" s="197"/>
      <c r="T116" s="197"/>
      <c r="U116" s="197">
        <v>114000</v>
      </c>
      <c r="V116" s="197"/>
      <c r="W116" s="197"/>
      <c r="X116" s="260" t="s">
        <v>1110</v>
      </c>
      <c r="Y116" s="232">
        <f t="shared" si="3"/>
        <v>82857</v>
      </c>
      <c r="Z116" s="232">
        <f t="shared" si="47"/>
        <v>0</v>
      </c>
      <c r="AA116" s="596" t="s">
        <v>905</v>
      </c>
      <c r="AB116" s="596"/>
      <c r="AC116" s="596"/>
    </row>
    <row r="117" spans="1:29" s="298" customFormat="1" ht="110.25" customHeight="1">
      <c r="A117" s="575">
        <v>2</v>
      </c>
      <c r="B117" s="639" t="s">
        <v>177</v>
      </c>
      <c r="C117" s="638" t="s">
        <v>947</v>
      </c>
      <c r="D117" s="321"/>
      <c r="E117" s="321"/>
      <c r="F117" s="576" t="s">
        <v>1111</v>
      </c>
      <c r="G117" s="197">
        <f>SUM(H117:K117)</f>
        <v>913901</v>
      </c>
      <c r="H117" s="640">
        <v>452622</v>
      </c>
      <c r="I117" s="253"/>
      <c r="J117" s="641">
        <v>461279</v>
      </c>
      <c r="K117" s="253"/>
      <c r="L117" s="197">
        <f t="shared" si="62"/>
        <v>220191</v>
      </c>
      <c r="M117" s="641">
        <v>220191</v>
      </c>
      <c r="N117" s="253"/>
      <c r="O117" s="253"/>
      <c r="P117" s="253"/>
      <c r="Q117" s="181">
        <f>SUM(R117:W117)</f>
        <v>247966</v>
      </c>
      <c r="R117" s="253"/>
      <c r="S117" s="253"/>
      <c r="T117" s="641">
        <v>40000</v>
      </c>
      <c r="U117" s="253"/>
      <c r="V117" s="641">
        <v>187169</v>
      </c>
      <c r="W117" s="641">
        <v>20797</v>
      </c>
      <c r="X117" s="260" t="s">
        <v>1110</v>
      </c>
      <c r="Y117" s="232"/>
      <c r="Z117" s="232"/>
      <c r="AA117" s="597" t="s">
        <v>905</v>
      </c>
      <c r="AB117" s="597"/>
      <c r="AC117" s="597"/>
    </row>
    <row r="118" spans="1:29" s="298" customFormat="1" ht="110.25" customHeight="1">
      <c r="A118" s="575">
        <v>3</v>
      </c>
      <c r="B118" s="577" t="s">
        <v>1112</v>
      </c>
      <c r="C118" s="642" t="s">
        <v>1113</v>
      </c>
      <c r="D118" s="321"/>
      <c r="E118" s="321"/>
      <c r="F118" s="642" t="s">
        <v>1114</v>
      </c>
      <c r="G118" s="197">
        <f>SUM(H118:K118)</f>
        <v>9569</v>
      </c>
      <c r="H118" s="643">
        <v>9569</v>
      </c>
      <c r="I118" s="253"/>
      <c r="J118" s="253"/>
      <c r="K118" s="253"/>
      <c r="L118" s="253"/>
      <c r="M118" s="253"/>
      <c r="N118" s="253"/>
      <c r="O118" s="253"/>
      <c r="P118" s="253"/>
      <c r="Q118" s="181">
        <f>SUM(R118:W118)</f>
        <v>9569</v>
      </c>
      <c r="R118" s="253"/>
      <c r="S118" s="253"/>
      <c r="T118" s="253"/>
      <c r="U118" s="253"/>
      <c r="V118" s="643">
        <v>9569</v>
      </c>
      <c r="W118" s="253"/>
      <c r="X118" s="260" t="s">
        <v>1110</v>
      </c>
      <c r="Y118" s="232"/>
      <c r="Z118" s="232"/>
      <c r="AA118" s="597" t="s">
        <v>905</v>
      </c>
      <c r="AB118" s="597"/>
      <c r="AC118" s="597"/>
    </row>
    <row r="119" spans="1:29" s="281" customFormat="1" ht="89.25" customHeight="1">
      <c r="A119" s="575">
        <v>4</v>
      </c>
      <c r="B119" s="644" t="s">
        <v>1115</v>
      </c>
      <c r="C119" s="638" t="s">
        <v>947</v>
      </c>
      <c r="D119" s="254"/>
      <c r="E119" s="254"/>
      <c r="F119" s="645" t="s">
        <v>1116</v>
      </c>
      <c r="G119" s="197">
        <f>SUM(H119:K119)</f>
        <v>494452</v>
      </c>
      <c r="H119" s="641">
        <v>401700</v>
      </c>
      <c r="I119" s="197"/>
      <c r="J119" s="641">
        <v>92752</v>
      </c>
      <c r="K119" s="197"/>
      <c r="L119" s="197"/>
      <c r="M119" s="197"/>
      <c r="N119" s="197"/>
      <c r="O119" s="197"/>
      <c r="P119" s="197"/>
      <c r="Q119" s="181">
        <f>SUM(R119:W119)</f>
        <v>100000</v>
      </c>
      <c r="R119" s="197"/>
      <c r="S119" s="197"/>
      <c r="T119" s="197"/>
      <c r="U119" s="197"/>
      <c r="V119" s="641">
        <v>90000</v>
      </c>
      <c r="W119" s="641">
        <v>10000</v>
      </c>
      <c r="X119" s="260" t="s">
        <v>1110</v>
      </c>
      <c r="Y119" s="232"/>
      <c r="Z119" s="232"/>
      <c r="AA119" s="596" t="s">
        <v>905</v>
      </c>
      <c r="AB119" s="596"/>
      <c r="AC119" s="596"/>
    </row>
    <row r="120" spans="1:29" s="281" customFormat="1" ht="154.5" customHeight="1">
      <c r="A120" s="575">
        <v>5</v>
      </c>
      <c r="B120" s="646" t="s">
        <v>1117</v>
      </c>
      <c r="C120" s="607" t="s">
        <v>1118</v>
      </c>
      <c r="D120" s="254"/>
      <c r="E120" s="254"/>
      <c r="F120" s="608" t="s">
        <v>1119</v>
      </c>
      <c r="G120" s="197">
        <f>SUM(H120:K120)</f>
        <v>2500000</v>
      </c>
      <c r="H120" s="641"/>
      <c r="I120" s="197"/>
      <c r="J120" s="609">
        <v>2500000</v>
      </c>
      <c r="K120" s="197"/>
      <c r="L120" s="197"/>
      <c r="M120" s="197"/>
      <c r="N120" s="197"/>
      <c r="O120" s="197"/>
      <c r="P120" s="197"/>
      <c r="Q120" s="181">
        <f>SUM(R120:W120)</f>
        <v>2000</v>
      </c>
      <c r="R120" s="197"/>
      <c r="S120" s="197"/>
      <c r="T120" s="609">
        <v>2000</v>
      </c>
      <c r="U120" s="197"/>
      <c r="V120" s="641"/>
      <c r="W120" s="641"/>
      <c r="X120" s="260" t="s">
        <v>1110</v>
      </c>
      <c r="Y120" s="232"/>
      <c r="Z120" s="232"/>
      <c r="AA120" s="596"/>
      <c r="AB120" s="596" t="s">
        <v>1120</v>
      </c>
      <c r="AC120" s="596"/>
    </row>
    <row r="121" spans="1:29" s="281" customFormat="1" ht="55.5" customHeight="1">
      <c r="A121" s="575"/>
      <c r="B121" s="606" t="s">
        <v>600</v>
      </c>
      <c r="C121" s="607" t="s">
        <v>947</v>
      </c>
      <c r="D121" s="254"/>
      <c r="E121" s="254"/>
      <c r="F121" s="608" t="s">
        <v>747</v>
      </c>
      <c r="G121" s="197">
        <f>SUM(H121:J121)</f>
        <v>78000</v>
      </c>
      <c r="H121" s="641"/>
      <c r="I121" s="197"/>
      <c r="J121" s="609">
        <v>78000</v>
      </c>
      <c r="K121" s="197"/>
      <c r="L121" s="197">
        <f>SUM(M121:P121)</f>
        <v>52500</v>
      </c>
      <c r="M121" s="197"/>
      <c r="N121" s="197"/>
      <c r="O121" s="609">
        <v>52500</v>
      </c>
      <c r="P121" s="197"/>
      <c r="Q121" s="181">
        <f t="shared" ref="Q121:Q124" si="64">SUM(R121:W121)</f>
        <v>25000</v>
      </c>
      <c r="R121" s="609">
        <v>20000</v>
      </c>
      <c r="S121" s="197"/>
      <c r="T121" s="609">
        <v>5000</v>
      </c>
      <c r="U121" s="197"/>
      <c r="V121" s="641"/>
      <c r="W121" s="641"/>
      <c r="X121" s="260" t="s">
        <v>1110</v>
      </c>
      <c r="Y121" s="232"/>
      <c r="Z121" s="232"/>
      <c r="AA121" s="596"/>
      <c r="AB121" s="596"/>
      <c r="AC121" s="596"/>
    </row>
    <row r="122" spans="1:29" s="281" customFormat="1" ht="86.25" customHeight="1">
      <c r="A122" s="575"/>
      <c r="B122" s="606" t="s">
        <v>593</v>
      </c>
      <c r="C122" s="607" t="s">
        <v>947</v>
      </c>
      <c r="D122" s="254"/>
      <c r="E122" s="254"/>
      <c r="F122" s="608" t="s">
        <v>594</v>
      </c>
      <c r="G122" s="197">
        <f t="shared" ref="G122:G124" si="65">SUM(H122:J122)</f>
        <v>173000</v>
      </c>
      <c r="H122" s="641"/>
      <c r="I122" s="197"/>
      <c r="J122" s="609">
        <v>173000</v>
      </c>
      <c r="K122" s="197"/>
      <c r="L122" s="197">
        <f t="shared" ref="L122:L160" si="66">SUM(M122:P122)</f>
        <v>86000</v>
      </c>
      <c r="M122" s="197"/>
      <c r="N122" s="197"/>
      <c r="O122" s="609">
        <v>86000</v>
      </c>
      <c r="P122" s="197"/>
      <c r="Q122" s="181">
        <f t="shared" si="64"/>
        <v>85000</v>
      </c>
      <c r="R122" s="609">
        <v>30000</v>
      </c>
      <c r="S122" s="197"/>
      <c r="T122" s="609">
        <v>55000</v>
      </c>
      <c r="U122" s="197"/>
      <c r="V122" s="641"/>
      <c r="W122" s="641"/>
      <c r="X122" s="260" t="s">
        <v>1110</v>
      </c>
      <c r="Y122" s="232"/>
      <c r="Z122" s="232"/>
      <c r="AA122" s="596"/>
      <c r="AB122" s="596"/>
      <c r="AC122" s="596"/>
    </row>
    <row r="123" spans="1:29" s="281" customFormat="1" ht="111.75" customHeight="1">
      <c r="A123" s="575"/>
      <c r="B123" s="606" t="s">
        <v>611</v>
      </c>
      <c r="C123" s="607" t="s">
        <v>947</v>
      </c>
      <c r="D123" s="254"/>
      <c r="E123" s="254"/>
      <c r="F123" s="608" t="s">
        <v>1121</v>
      </c>
      <c r="G123" s="197">
        <f t="shared" si="65"/>
        <v>2030000</v>
      </c>
      <c r="H123" s="641"/>
      <c r="I123" s="609">
        <v>1485000</v>
      </c>
      <c r="J123" s="609">
        <v>545000</v>
      </c>
      <c r="K123" s="197"/>
      <c r="L123" s="197">
        <f t="shared" si="66"/>
        <v>5000</v>
      </c>
      <c r="M123" s="197"/>
      <c r="N123" s="197"/>
      <c r="O123" s="609">
        <v>5000</v>
      </c>
      <c r="P123" s="197"/>
      <c r="Q123" s="181">
        <f t="shared" si="64"/>
        <v>300000</v>
      </c>
      <c r="R123" s="609"/>
      <c r="S123" s="197"/>
      <c r="T123" s="609">
        <v>300000</v>
      </c>
      <c r="U123" s="197"/>
      <c r="V123" s="641"/>
      <c r="W123" s="641"/>
      <c r="X123" s="260" t="s">
        <v>1110</v>
      </c>
      <c r="Y123" s="232"/>
      <c r="Z123" s="232"/>
      <c r="AA123" s="596"/>
      <c r="AB123" s="596"/>
      <c r="AC123" s="596"/>
    </row>
    <row r="124" spans="1:29" s="281" customFormat="1" ht="102" customHeight="1">
      <c r="A124" s="575"/>
      <c r="B124" s="606" t="s">
        <v>508</v>
      </c>
      <c r="C124" s="607" t="s">
        <v>947</v>
      </c>
      <c r="D124" s="254"/>
      <c r="E124" s="254"/>
      <c r="F124" s="608" t="s">
        <v>1122</v>
      </c>
      <c r="G124" s="197">
        <f t="shared" si="65"/>
        <v>161000</v>
      </c>
      <c r="H124" s="641"/>
      <c r="I124" s="197">
        <f>161000-J124</f>
        <v>147000</v>
      </c>
      <c r="J124" s="609">
        <v>14000</v>
      </c>
      <c r="K124" s="197"/>
      <c r="L124" s="197">
        <f t="shared" si="66"/>
        <v>8105</v>
      </c>
      <c r="M124" s="197"/>
      <c r="N124" s="197"/>
      <c r="O124" s="609">
        <v>8105</v>
      </c>
      <c r="P124" s="197"/>
      <c r="Q124" s="181">
        <f t="shared" si="64"/>
        <v>3000</v>
      </c>
      <c r="R124" s="609">
        <v>3000</v>
      </c>
      <c r="S124" s="197"/>
      <c r="T124" s="609"/>
      <c r="U124" s="197"/>
      <c r="V124" s="641"/>
      <c r="W124" s="641"/>
      <c r="X124" s="260" t="s">
        <v>1110</v>
      </c>
      <c r="Y124" s="232"/>
      <c r="Z124" s="232"/>
      <c r="AA124" s="596"/>
      <c r="AB124" s="596"/>
      <c r="AC124" s="596"/>
    </row>
    <row r="125" spans="1:29" s="298" customFormat="1" ht="37.9" customHeight="1">
      <c r="A125" s="557" t="s">
        <v>343</v>
      </c>
      <c r="B125" s="321" t="s">
        <v>1123</v>
      </c>
      <c r="C125" s="321"/>
      <c r="D125" s="321"/>
      <c r="E125" s="321"/>
      <c r="F125" s="321"/>
      <c r="G125" s="295">
        <f>SUM(G126:G160)</f>
        <v>3812901</v>
      </c>
      <c r="H125" s="295">
        <f t="shared" ref="H125:S125" si="67">SUM(H130:H160)</f>
        <v>0</v>
      </c>
      <c r="I125" s="295">
        <f t="shared" si="67"/>
        <v>643208</v>
      </c>
      <c r="J125" s="295">
        <f t="shared" si="67"/>
        <v>3165270</v>
      </c>
      <c r="K125" s="295">
        <f t="shared" si="67"/>
        <v>0</v>
      </c>
      <c r="L125" s="295">
        <f t="shared" si="67"/>
        <v>2277317</v>
      </c>
      <c r="M125" s="295">
        <f t="shared" si="67"/>
        <v>0</v>
      </c>
      <c r="N125" s="295">
        <f t="shared" si="67"/>
        <v>671821</v>
      </c>
      <c r="O125" s="295">
        <f t="shared" si="67"/>
        <v>1605496</v>
      </c>
      <c r="P125" s="295">
        <f t="shared" si="67"/>
        <v>0</v>
      </c>
      <c r="Q125" s="295">
        <f t="shared" si="67"/>
        <v>421372</v>
      </c>
      <c r="R125" s="295">
        <f t="shared" si="67"/>
        <v>47890</v>
      </c>
      <c r="S125" s="295">
        <f t="shared" si="67"/>
        <v>0</v>
      </c>
      <c r="T125" s="295">
        <f>SUM(T126:T160)</f>
        <v>373482</v>
      </c>
      <c r="U125" s="295">
        <f>SUM(U130:U160)</f>
        <v>0</v>
      </c>
      <c r="V125" s="295">
        <f>SUM(V130:V160)</f>
        <v>0</v>
      </c>
      <c r="W125" s="295">
        <f>SUM(W130:W160)</f>
        <v>0</v>
      </c>
      <c r="X125" s="238"/>
      <c r="Y125" s="232">
        <f t="shared" ref="Y125" si="68">N125+O125+P125</f>
        <v>2277317</v>
      </c>
      <c r="Z125" s="232">
        <f t="shared" ref="Z125" si="69">L125-Y125</f>
        <v>0</v>
      </c>
      <c r="AA125" s="597"/>
      <c r="AB125" s="597"/>
      <c r="AC125" s="597"/>
    </row>
    <row r="126" spans="1:29" s="298" customFormat="1" ht="81" customHeight="1">
      <c r="A126" s="557"/>
      <c r="B126" s="634" t="s">
        <v>1124</v>
      </c>
      <c r="C126" s="647" t="s">
        <v>947</v>
      </c>
      <c r="D126" s="321"/>
      <c r="E126" s="321"/>
      <c r="F126" s="648" t="s">
        <v>1125</v>
      </c>
      <c r="G126" s="197">
        <f>SUM(H126:K126)</f>
        <v>273</v>
      </c>
      <c r="H126" s="295"/>
      <c r="I126" s="295"/>
      <c r="J126" s="649">
        <v>273</v>
      </c>
      <c r="K126" s="295"/>
      <c r="L126" s="197">
        <f t="shared" si="66"/>
        <v>250</v>
      </c>
      <c r="M126" s="295"/>
      <c r="N126" s="295"/>
      <c r="O126" s="649">
        <v>250</v>
      </c>
      <c r="P126" s="295"/>
      <c r="Q126" s="181">
        <f t="shared" ref="Q126:Q160" si="70">SUM(R126:W126)</f>
        <v>23</v>
      </c>
      <c r="R126" s="649">
        <v>23</v>
      </c>
      <c r="S126" s="295"/>
      <c r="T126" s="295"/>
      <c r="U126" s="295"/>
      <c r="V126" s="295"/>
      <c r="W126" s="295"/>
      <c r="X126" s="608" t="s">
        <v>1067</v>
      </c>
      <c r="Y126" s="232"/>
      <c r="Z126" s="232"/>
      <c r="AA126" s="597" t="s">
        <v>905</v>
      </c>
      <c r="AB126" s="597"/>
      <c r="AC126" s="597"/>
    </row>
    <row r="127" spans="1:29" s="298" customFormat="1" ht="81" customHeight="1">
      <c r="A127" s="557"/>
      <c r="B127" s="634" t="s">
        <v>1126</v>
      </c>
      <c r="C127" s="647" t="s">
        <v>826</v>
      </c>
      <c r="D127" s="321"/>
      <c r="E127" s="321"/>
      <c r="F127" s="648" t="s">
        <v>1127</v>
      </c>
      <c r="G127" s="197">
        <f t="shared" ref="G127:G160" si="71">SUM(H127:K127)</f>
        <v>1300</v>
      </c>
      <c r="H127" s="295"/>
      <c r="I127" s="295"/>
      <c r="J127" s="649">
        <v>1300</v>
      </c>
      <c r="K127" s="295"/>
      <c r="L127" s="197">
        <f t="shared" si="66"/>
        <v>1000</v>
      </c>
      <c r="M127" s="295"/>
      <c r="N127" s="295"/>
      <c r="O127" s="649">
        <v>1000</v>
      </c>
      <c r="P127" s="295"/>
      <c r="Q127" s="181">
        <f t="shared" si="70"/>
        <v>300</v>
      </c>
      <c r="R127" s="649">
        <v>300</v>
      </c>
      <c r="S127" s="295"/>
      <c r="T127" s="295"/>
      <c r="U127" s="295"/>
      <c r="V127" s="295"/>
      <c r="W127" s="295"/>
      <c r="X127" s="608" t="s">
        <v>1067</v>
      </c>
      <c r="Y127" s="232"/>
      <c r="Z127" s="232"/>
      <c r="AA127" s="597" t="s">
        <v>905</v>
      </c>
      <c r="AB127" s="597"/>
      <c r="AC127" s="597"/>
    </row>
    <row r="128" spans="1:29" s="298" customFormat="1" ht="81" customHeight="1">
      <c r="A128" s="557"/>
      <c r="B128" s="634" t="s">
        <v>1128</v>
      </c>
      <c r="C128" s="647" t="s">
        <v>826</v>
      </c>
      <c r="D128" s="321"/>
      <c r="E128" s="321"/>
      <c r="F128" s="648" t="s">
        <v>1129</v>
      </c>
      <c r="G128" s="197">
        <f t="shared" si="71"/>
        <v>1450</v>
      </c>
      <c r="H128" s="295"/>
      <c r="I128" s="295"/>
      <c r="J128" s="649">
        <v>1450</v>
      </c>
      <c r="K128" s="295"/>
      <c r="L128" s="197">
        <f t="shared" si="66"/>
        <v>1150</v>
      </c>
      <c r="M128" s="295"/>
      <c r="N128" s="295"/>
      <c r="O128" s="649">
        <v>1150</v>
      </c>
      <c r="P128" s="295"/>
      <c r="Q128" s="181">
        <f t="shared" si="70"/>
        <v>300</v>
      </c>
      <c r="R128" s="649">
        <v>300</v>
      </c>
      <c r="S128" s="295"/>
      <c r="T128" s="295"/>
      <c r="U128" s="295"/>
      <c r="V128" s="295"/>
      <c r="W128" s="295"/>
      <c r="X128" s="608" t="s">
        <v>1067</v>
      </c>
      <c r="Y128" s="232"/>
      <c r="Z128" s="232"/>
      <c r="AA128" s="597" t="s">
        <v>905</v>
      </c>
      <c r="AB128" s="597"/>
      <c r="AC128" s="597"/>
    </row>
    <row r="129" spans="1:29" s="298" customFormat="1" ht="81" customHeight="1">
      <c r="A129" s="557"/>
      <c r="B129" s="634" t="s">
        <v>1130</v>
      </c>
      <c r="C129" s="647" t="s">
        <v>826</v>
      </c>
      <c r="D129" s="321"/>
      <c r="E129" s="321"/>
      <c r="F129" s="648" t="s">
        <v>1131</v>
      </c>
      <c r="G129" s="197">
        <f t="shared" si="71"/>
        <v>1400</v>
      </c>
      <c r="H129" s="295"/>
      <c r="I129" s="295"/>
      <c r="J129" s="649">
        <v>1400</v>
      </c>
      <c r="K129" s="295"/>
      <c r="L129" s="197">
        <f t="shared" si="66"/>
        <v>1150</v>
      </c>
      <c r="M129" s="295"/>
      <c r="N129" s="295"/>
      <c r="O129" s="649">
        <v>1150</v>
      </c>
      <c r="P129" s="295"/>
      <c r="Q129" s="181">
        <f t="shared" si="70"/>
        <v>250</v>
      </c>
      <c r="R129" s="649">
        <v>250</v>
      </c>
      <c r="S129" s="295"/>
      <c r="T129" s="295"/>
      <c r="U129" s="295"/>
      <c r="V129" s="295"/>
      <c r="W129" s="295"/>
      <c r="X129" s="608" t="s">
        <v>1067</v>
      </c>
      <c r="Y129" s="232"/>
      <c r="Z129" s="232"/>
      <c r="AA129" s="597" t="s">
        <v>905</v>
      </c>
      <c r="AB129" s="597"/>
      <c r="AC129" s="597"/>
    </row>
    <row r="130" spans="1:29" s="281" customFormat="1" ht="86.25" customHeight="1">
      <c r="A130" s="238"/>
      <c r="B130" s="606" t="s">
        <v>1132</v>
      </c>
      <c r="C130" s="607" t="s">
        <v>954</v>
      </c>
      <c r="D130" s="254"/>
      <c r="E130" s="254"/>
      <c r="F130" s="608" t="s">
        <v>1133</v>
      </c>
      <c r="G130" s="197">
        <f t="shared" si="71"/>
        <v>3040</v>
      </c>
      <c r="H130" s="197"/>
      <c r="I130" s="197"/>
      <c r="J130" s="609">
        <v>3040</v>
      </c>
      <c r="K130" s="197"/>
      <c r="L130" s="197">
        <f t="shared" si="66"/>
        <v>1650</v>
      </c>
      <c r="M130" s="197"/>
      <c r="N130" s="197"/>
      <c r="O130" s="609">
        <v>1650</v>
      </c>
      <c r="P130" s="197"/>
      <c r="Q130" s="181">
        <f t="shared" si="70"/>
        <v>1390</v>
      </c>
      <c r="R130" s="609">
        <v>1390</v>
      </c>
      <c r="S130" s="197"/>
      <c r="T130" s="197"/>
      <c r="U130" s="197"/>
      <c r="V130" s="197"/>
      <c r="W130" s="197"/>
      <c r="X130" s="608" t="s">
        <v>1067</v>
      </c>
      <c r="Y130" s="232"/>
      <c r="Z130" s="232"/>
      <c r="AA130" s="597" t="s">
        <v>905</v>
      </c>
      <c r="AB130" s="596"/>
      <c r="AC130" s="596"/>
    </row>
    <row r="131" spans="1:29" s="281" customFormat="1" ht="80.25" customHeight="1">
      <c r="A131" s="238"/>
      <c r="B131" s="606" t="s">
        <v>1134</v>
      </c>
      <c r="C131" s="607" t="s">
        <v>968</v>
      </c>
      <c r="D131" s="254"/>
      <c r="E131" s="254"/>
      <c r="F131" s="608" t="s">
        <v>1135</v>
      </c>
      <c r="G131" s="197">
        <f>SUM(H131:K131)</f>
        <v>482</v>
      </c>
      <c r="H131" s="197"/>
      <c r="I131" s="197"/>
      <c r="J131" s="609">
        <v>482</v>
      </c>
      <c r="K131" s="197"/>
      <c r="L131" s="197">
        <f t="shared" si="66"/>
        <v>400</v>
      </c>
      <c r="M131" s="197"/>
      <c r="N131" s="197"/>
      <c r="O131" s="609">
        <v>400</v>
      </c>
      <c r="P131" s="197"/>
      <c r="Q131" s="181">
        <f t="shared" si="70"/>
        <v>82</v>
      </c>
      <c r="R131" s="197"/>
      <c r="S131" s="197"/>
      <c r="T131" s="609">
        <v>82</v>
      </c>
      <c r="U131" s="197"/>
      <c r="V131" s="197"/>
      <c r="W131" s="197"/>
      <c r="X131" s="608" t="s">
        <v>1067</v>
      </c>
      <c r="Y131" s="232"/>
      <c r="Z131" s="232"/>
      <c r="AA131" s="597" t="s">
        <v>905</v>
      </c>
      <c r="AB131" s="596"/>
      <c r="AC131" s="596"/>
    </row>
    <row r="132" spans="1:29" s="281" customFormat="1" ht="67.5" customHeight="1">
      <c r="A132" s="238"/>
      <c r="B132" s="606" t="s">
        <v>1136</v>
      </c>
      <c r="C132" s="607" t="s">
        <v>1046</v>
      </c>
      <c r="D132" s="254"/>
      <c r="E132" s="254"/>
      <c r="F132" s="608" t="s">
        <v>1137</v>
      </c>
      <c r="G132" s="197">
        <f t="shared" si="71"/>
        <v>4507</v>
      </c>
      <c r="H132" s="197"/>
      <c r="I132" s="197"/>
      <c r="J132" s="609">
        <v>4507</v>
      </c>
      <c r="K132" s="197"/>
      <c r="L132" s="197">
        <f t="shared" si="66"/>
        <v>4107</v>
      </c>
      <c r="M132" s="197"/>
      <c r="N132" s="197"/>
      <c r="O132" s="609">
        <v>4107</v>
      </c>
      <c r="P132" s="197"/>
      <c r="Q132" s="181">
        <f t="shared" si="70"/>
        <v>100</v>
      </c>
      <c r="R132" s="609">
        <v>100</v>
      </c>
      <c r="S132" s="197"/>
      <c r="T132" s="609"/>
      <c r="U132" s="197"/>
      <c r="V132" s="197"/>
      <c r="W132" s="197"/>
      <c r="X132" s="608" t="s">
        <v>1067</v>
      </c>
      <c r="Y132" s="232"/>
      <c r="Z132" s="232"/>
      <c r="AA132" s="597" t="s">
        <v>905</v>
      </c>
      <c r="AB132" s="596"/>
      <c r="AC132" s="596"/>
    </row>
    <row r="133" spans="1:29" s="281" customFormat="1" ht="67.5" customHeight="1">
      <c r="A133" s="238"/>
      <c r="B133" s="606" t="s">
        <v>1138</v>
      </c>
      <c r="C133" s="607" t="s">
        <v>830</v>
      </c>
      <c r="D133" s="254"/>
      <c r="E133" s="254"/>
      <c r="F133" s="608" t="s">
        <v>1139</v>
      </c>
      <c r="G133" s="197">
        <f t="shared" si="71"/>
        <v>1350</v>
      </c>
      <c r="H133" s="197"/>
      <c r="I133" s="197"/>
      <c r="J133" s="609">
        <v>1350</v>
      </c>
      <c r="K133" s="197"/>
      <c r="L133" s="197">
        <f t="shared" si="66"/>
        <v>900</v>
      </c>
      <c r="M133" s="197"/>
      <c r="N133" s="197"/>
      <c r="O133" s="609">
        <v>900</v>
      </c>
      <c r="P133" s="197"/>
      <c r="Q133" s="181">
        <f t="shared" si="70"/>
        <v>300</v>
      </c>
      <c r="R133" s="609">
        <v>300</v>
      </c>
      <c r="S133" s="197"/>
      <c r="T133" s="609"/>
      <c r="U133" s="197"/>
      <c r="V133" s="197"/>
      <c r="W133" s="197"/>
      <c r="X133" s="608" t="s">
        <v>1067</v>
      </c>
      <c r="Y133" s="232"/>
      <c r="Z133" s="232"/>
      <c r="AA133" s="596" t="s">
        <v>905</v>
      </c>
      <c r="AB133" s="596" t="s">
        <v>905</v>
      </c>
      <c r="AC133" s="596"/>
    </row>
    <row r="134" spans="1:29" s="281" customFormat="1" ht="67.5" customHeight="1">
      <c r="A134" s="238"/>
      <c r="B134" s="606" t="s">
        <v>1140</v>
      </c>
      <c r="C134" s="607" t="s">
        <v>954</v>
      </c>
      <c r="D134" s="254"/>
      <c r="E134" s="254"/>
      <c r="F134" s="608" t="s">
        <v>1141</v>
      </c>
      <c r="G134" s="197">
        <f t="shared" si="71"/>
        <v>1426</v>
      </c>
      <c r="H134" s="197"/>
      <c r="I134" s="197"/>
      <c r="J134" s="609">
        <v>1426</v>
      </c>
      <c r="K134" s="197"/>
      <c r="L134" s="197">
        <f t="shared" si="66"/>
        <v>150</v>
      </c>
      <c r="M134" s="197"/>
      <c r="N134" s="197"/>
      <c r="O134" s="609">
        <v>150</v>
      </c>
      <c r="P134" s="197"/>
      <c r="Q134" s="181">
        <f t="shared" si="70"/>
        <v>1100</v>
      </c>
      <c r="R134" s="609">
        <v>1100</v>
      </c>
      <c r="S134" s="197"/>
      <c r="T134" s="609"/>
      <c r="U134" s="197"/>
      <c r="V134" s="197"/>
      <c r="W134" s="197"/>
      <c r="X134" s="608" t="s">
        <v>1067</v>
      </c>
      <c r="Y134" s="232"/>
      <c r="Z134" s="232"/>
      <c r="AA134" s="596" t="s">
        <v>905</v>
      </c>
      <c r="AB134" s="596"/>
      <c r="AC134" s="596"/>
    </row>
    <row r="135" spans="1:29" s="281" customFormat="1" ht="131.25" customHeight="1">
      <c r="A135" s="238"/>
      <c r="B135" s="606" t="s">
        <v>1142</v>
      </c>
      <c r="C135" s="607" t="s">
        <v>954</v>
      </c>
      <c r="D135" s="254"/>
      <c r="E135" s="254"/>
      <c r="F135" s="608" t="s">
        <v>1143</v>
      </c>
      <c r="G135" s="197">
        <f t="shared" si="71"/>
        <v>733082</v>
      </c>
      <c r="H135" s="197"/>
      <c r="I135" s="197">
        <f>733082-J135</f>
        <v>518208</v>
      </c>
      <c r="J135" s="609">
        <v>214874</v>
      </c>
      <c r="K135" s="197"/>
      <c r="L135" s="197">
        <f t="shared" si="66"/>
        <v>624708</v>
      </c>
      <c r="M135" s="197"/>
      <c r="N135" s="197">
        <f>624708-O135</f>
        <v>518208</v>
      </c>
      <c r="O135" s="609">
        <v>106500</v>
      </c>
      <c r="P135" s="197"/>
      <c r="Q135" s="181">
        <f t="shared" si="70"/>
        <v>30000</v>
      </c>
      <c r="R135" s="609">
        <v>30000</v>
      </c>
      <c r="S135" s="197"/>
      <c r="T135" s="609"/>
      <c r="U135" s="197"/>
      <c r="V135" s="197"/>
      <c r="W135" s="197"/>
      <c r="X135" s="608" t="s">
        <v>1067</v>
      </c>
      <c r="Y135" s="232"/>
      <c r="Z135" s="232"/>
      <c r="AA135" s="596" t="s">
        <v>905</v>
      </c>
      <c r="AB135" s="596"/>
      <c r="AC135" s="596"/>
    </row>
    <row r="136" spans="1:29" s="281" customFormat="1" ht="96" customHeight="1">
      <c r="A136" s="238"/>
      <c r="B136" s="606" t="s">
        <v>1144</v>
      </c>
      <c r="C136" s="607" t="s">
        <v>954</v>
      </c>
      <c r="D136" s="254"/>
      <c r="E136" s="254"/>
      <c r="F136" s="608" t="s">
        <v>1145</v>
      </c>
      <c r="G136" s="197">
        <f t="shared" si="71"/>
        <v>235152</v>
      </c>
      <c r="H136" s="197"/>
      <c r="I136" s="197">
        <f>235152-J136</f>
        <v>125000</v>
      </c>
      <c r="J136" s="609">
        <v>110152</v>
      </c>
      <c r="K136" s="197"/>
      <c r="L136" s="197">
        <f t="shared" si="66"/>
        <v>189377</v>
      </c>
      <c r="M136" s="197"/>
      <c r="N136" s="197">
        <f>189377-O136</f>
        <v>125000</v>
      </c>
      <c r="O136" s="609">
        <v>64377</v>
      </c>
      <c r="P136" s="197"/>
      <c r="Q136" s="181">
        <f t="shared" si="70"/>
        <v>15000</v>
      </c>
      <c r="R136" s="609">
        <v>15000</v>
      </c>
      <c r="S136" s="197"/>
      <c r="T136" s="609"/>
      <c r="U136" s="197"/>
      <c r="V136" s="197"/>
      <c r="W136" s="197"/>
      <c r="X136" s="608" t="s">
        <v>1067</v>
      </c>
      <c r="Y136" s="232"/>
      <c r="Z136" s="232"/>
      <c r="AA136" s="596" t="s">
        <v>905</v>
      </c>
      <c r="AB136" s="596"/>
      <c r="AC136" s="596"/>
    </row>
    <row r="137" spans="1:29" s="281" customFormat="1" ht="67.5" customHeight="1">
      <c r="A137" s="238"/>
      <c r="B137" s="606" t="s">
        <v>1146</v>
      </c>
      <c r="C137" s="607" t="s">
        <v>830</v>
      </c>
      <c r="D137" s="254"/>
      <c r="E137" s="254"/>
      <c r="F137" s="608" t="s">
        <v>1147</v>
      </c>
      <c r="G137" s="197">
        <f t="shared" si="71"/>
        <v>44000</v>
      </c>
      <c r="H137" s="197"/>
      <c r="I137" s="197"/>
      <c r="J137" s="609">
        <v>44000</v>
      </c>
      <c r="K137" s="197"/>
      <c r="L137" s="197">
        <f t="shared" si="66"/>
        <v>28613</v>
      </c>
      <c r="M137" s="197"/>
      <c r="N137" s="609">
        <v>28613</v>
      </c>
      <c r="O137" s="609"/>
      <c r="P137" s="197"/>
      <c r="Q137" s="181">
        <f t="shared" si="70"/>
        <v>1200</v>
      </c>
      <c r="R137" s="197"/>
      <c r="S137" s="197"/>
      <c r="T137" s="609">
        <v>1200</v>
      </c>
      <c r="U137" s="197"/>
      <c r="V137" s="197"/>
      <c r="W137" s="197"/>
      <c r="X137" s="608" t="s">
        <v>1067</v>
      </c>
      <c r="Y137" s="232"/>
      <c r="Z137" s="232"/>
      <c r="AA137" s="596" t="s">
        <v>905</v>
      </c>
      <c r="AB137" s="596"/>
      <c r="AC137" s="596"/>
    </row>
    <row r="138" spans="1:29" ht="56.25">
      <c r="A138" s="224"/>
      <c r="B138" s="606" t="s">
        <v>1148</v>
      </c>
      <c r="C138" s="607" t="s">
        <v>954</v>
      </c>
      <c r="D138" s="239"/>
      <c r="E138" s="239"/>
      <c r="F138" s="608" t="s">
        <v>1149</v>
      </c>
      <c r="G138" s="578">
        <f t="shared" si="71"/>
        <v>620000</v>
      </c>
      <c r="H138" s="578"/>
      <c r="I138" s="578"/>
      <c r="J138" s="578">
        <v>620000</v>
      </c>
      <c r="K138" s="239"/>
      <c r="L138" s="197">
        <f t="shared" si="66"/>
        <v>572527</v>
      </c>
      <c r="M138" s="239"/>
      <c r="N138" s="239"/>
      <c r="O138" s="609">
        <v>572527</v>
      </c>
      <c r="P138" s="239"/>
      <c r="Q138" s="181">
        <f t="shared" si="70"/>
        <v>2000</v>
      </c>
      <c r="R138" s="239"/>
      <c r="S138" s="239"/>
      <c r="T138" s="609">
        <v>2000</v>
      </c>
      <c r="U138" s="239"/>
      <c r="V138" s="239"/>
      <c r="W138" s="239"/>
      <c r="X138" s="608" t="s">
        <v>1067</v>
      </c>
      <c r="AA138" s="593" t="s">
        <v>905</v>
      </c>
    </row>
    <row r="139" spans="1:29" ht="75">
      <c r="A139" s="224"/>
      <c r="B139" s="606" t="s">
        <v>1150</v>
      </c>
      <c r="C139" s="607" t="s">
        <v>968</v>
      </c>
      <c r="D139" s="239"/>
      <c r="E139" s="239"/>
      <c r="F139" s="608" t="s">
        <v>1151</v>
      </c>
      <c r="G139" s="578">
        <f t="shared" si="71"/>
        <v>567</v>
      </c>
      <c r="H139" s="578"/>
      <c r="I139" s="578"/>
      <c r="J139" s="609">
        <v>567</v>
      </c>
      <c r="K139" s="239"/>
      <c r="L139" s="197">
        <f t="shared" si="66"/>
        <v>200</v>
      </c>
      <c r="M139" s="239"/>
      <c r="N139" s="239"/>
      <c r="O139" s="609">
        <v>200</v>
      </c>
      <c r="P139" s="239"/>
      <c r="Q139" s="181">
        <f t="shared" si="70"/>
        <v>300</v>
      </c>
      <c r="R139" s="239"/>
      <c r="S139" s="239"/>
      <c r="T139" s="609">
        <v>300</v>
      </c>
      <c r="U139" s="239"/>
      <c r="V139" s="239"/>
      <c r="W139" s="239"/>
      <c r="X139" s="608" t="s">
        <v>1067</v>
      </c>
      <c r="AA139" s="593" t="s">
        <v>905</v>
      </c>
    </row>
    <row r="140" spans="1:29" ht="75">
      <c r="A140" s="224"/>
      <c r="B140" s="606" t="s">
        <v>1152</v>
      </c>
      <c r="C140" s="607" t="s">
        <v>968</v>
      </c>
      <c r="D140" s="239"/>
      <c r="E140" s="239"/>
      <c r="F140" s="608" t="s">
        <v>1153</v>
      </c>
      <c r="G140" s="578">
        <f t="shared" si="71"/>
        <v>3268</v>
      </c>
      <c r="H140" s="578"/>
      <c r="I140" s="578"/>
      <c r="J140" s="609">
        <v>3268</v>
      </c>
      <c r="K140" s="239"/>
      <c r="L140" s="197">
        <f t="shared" si="66"/>
        <v>3000</v>
      </c>
      <c r="M140" s="239"/>
      <c r="N140" s="239"/>
      <c r="O140" s="609">
        <v>3000</v>
      </c>
      <c r="P140" s="239"/>
      <c r="Q140" s="181">
        <f t="shared" si="70"/>
        <v>100</v>
      </c>
      <c r="R140" s="239"/>
      <c r="S140" s="239"/>
      <c r="T140" s="609">
        <v>100</v>
      </c>
      <c r="U140" s="239"/>
      <c r="V140" s="239"/>
      <c r="W140" s="239"/>
      <c r="X140" s="608" t="s">
        <v>1067</v>
      </c>
      <c r="AA140" s="593" t="s">
        <v>905</v>
      </c>
    </row>
    <row r="141" spans="1:29" ht="78.75">
      <c r="A141" s="224"/>
      <c r="B141" s="606" t="s">
        <v>1154</v>
      </c>
      <c r="C141" s="607" t="s">
        <v>954</v>
      </c>
      <c r="D141" s="239"/>
      <c r="E141" s="239"/>
      <c r="F141" s="608" t="s">
        <v>1155</v>
      </c>
      <c r="G141" s="578">
        <f t="shared" si="71"/>
        <v>20000</v>
      </c>
      <c r="H141" s="239"/>
      <c r="I141" s="239"/>
      <c r="J141" s="609">
        <v>20000</v>
      </c>
      <c r="K141" s="239"/>
      <c r="L141" s="197">
        <f t="shared" si="66"/>
        <v>17000</v>
      </c>
      <c r="M141" s="239"/>
      <c r="N141" s="239"/>
      <c r="O141" s="609">
        <v>17000</v>
      </c>
      <c r="P141" s="239"/>
      <c r="Q141" s="181">
        <f t="shared" si="70"/>
        <v>1000</v>
      </c>
      <c r="R141" s="239"/>
      <c r="S141" s="239"/>
      <c r="T141" s="609">
        <v>1000</v>
      </c>
      <c r="U141" s="239"/>
      <c r="V141" s="239"/>
      <c r="W141" s="239"/>
      <c r="X141" s="608" t="s">
        <v>1067</v>
      </c>
      <c r="AA141" s="593" t="s">
        <v>905</v>
      </c>
    </row>
    <row r="142" spans="1:29" ht="63">
      <c r="A142" s="224"/>
      <c r="B142" s="606" t="s">
        <v>1156</v>
      </c>
      <c r="C142" s="607" t="s">
        <v>954</v>
      </c>
      <c r="D142" s="239"/>
      <c r="E142" s="239"/>
      <c r="F142" s="608" t="s">
        <v>1157</v>
      </c>
      <c r="G142" s="578">
        <f t="shared" si="71"/>
        <v>40000</v>
      </c>
      <c r="H142" s="239"/>
      <c r="I142" s="239"/>
      <c r="J142" s="609">
        <v>40000</v>
      </c>
      <c r="K142" s="239"/>
      <c r="L142" s="197">
        <f t="shared" si="66"/>
        <v>25700</v>
      </c>
      <c r="M142" s="239"/>
      <c r="N142" s="239"/>
      <c r="O142" s="609">
        <v>25700</v>
      </c>
      <c r="P142" s="239"/>
      <c r="Q142" s="181">
        <f t="shared" si="70"/>
        <v>10000</v>
      </c>
      <c r="R142" s="239"/>
      <c r="S142" s="239"/>
      <c r="T142" s="609">
        <v>10000</v>
      </c>
      <c r="U142" s="239"/>
      <c r="V142" s="239"/>
      <c r="W142" s="239"/>
      <c r="X142" s="608" t="s">
        <v>1067</v>
      </c>
      <c r="AA142" s="593" t="s">
        <v>905</v>
      </c>
    </row>
    <row r="143" spans="1:29" ht="94.5">
      <c r="A143" s="224"/>
      <c r="B143" s="606" t="s">
        <v>1158</v>
      </c>
      <c r="C143" s="607" t="s">
        <v>1046</v>
      </c>
      <c r="D143" s="239"/>
      <c r="E143" s="239"/>
      <c r="F143" s="608" t="s">
        <v>1159</v>
      </c>
      <c r="G143" s="578">
        <f t="shared" si="71"/>
        <v>6000</v>
      </c>
      <c r="H143" s="239"/>
      <c r="I143" s="239"/>
      <c r="J143" s="609">
        <v>6000</v>
      </c>
      <c r="K143" s="239"/>
      <c r="L143" s="197">
        <f t="shared" si="66"/>
        <v>4700</v>
      </c>
      <c r="M143" s="239"/>
      <c r="N143" s="239"/>
      <c r="O143" s="609">
        <v>4700</v>
      </c>
      <c r="P143" s="239"/>
      <c r="Q143" s="181">
        <f t="shared" si="70"/>
        <v>700</v>
      </c>
      <c r="R143" s="239"/>
      <c r="S143" s="239"/>
      <c r="T143" s="609">
        <v>700</v>
      </c>
      <c r="U143" s="239"/>
      <c r="V143" s="239"/>
      <c r="W143" s="239"/>
      <c r="X143" s="608" t="s">
        <v>1067</v>
      </c>
      <c r="AA143" s="593" t="s">
        <v>905</v>
      </c>
    </row>
    <row r="144" spans="1:29" ht="126">
      <c r="A144" s="224"/>
      <c r="B144" s="606" t="s">
        <v>1160</v>
      </c>
      <c r="C144" s="607" t="s">
        <v>954</v>
      </c>
      <c r="D144" s="239"/>
      <c r="E144" s="239"/>
      <c r="F144" s="608" t="s">
        <v>1161</v>
      </c>
      <c r="G144" s="578">
        <f t="shared" si="71"/>
        <v>15148</v>
      </c>
      <c r="H144" s="239"/>
      <c r="I144" s="239"/>
      <c r="J144" s="609">
        <v>15148</v>
      </c>
      <c r="K144" s="239"/>
      <c r="L144" s="197">
        <f t="shared" si="66"/>
        <v>9700</v>
      </c>
      <c r="M144" s="239"/>
      <c r="N144" s="239"/>
      <c r="O144" s="609">
        <v>9700</v>
      </c>
      <c r="P144" s="239"/>
      <c r="Q144" s="181">
        <f t="shared" si="70"/>
        <v>3000</v>
      </c>
      <c r="R144" s="239"/>
      <c r="S144" s="239"/>
      <c r="T144" s="609">
        <v>3000</v>
      </c>
      <c r="U144" s="239"/>
      <c r="V144" s="239"/>
      <c r="W144" s="239"/>
      <c r="X144" s="608" t="s">
        <v>1067</v>
      </c>
      <c r="AA144" s="593" t="s">
        <v>905</v>
      </c>
    </row>
    <row r="145" spans="1:27" ht="75">
      <c r="A145" s="224"/>
      <c r="B145" s="606" t="s">
        <v>1162</v>
      </c>
      <c r="C145" s="607" t="s">
        <v>968</v>
      </c>
      <c r="D145" s="239"/>
      <c r="E145" s="239"/>
      <c r="F145" s="608" t="s">
        <v>1163</v>
      </c>
      <c r="G145" s="578">
        <f t="shared" si="71"/>
        <v>14500</v>
      </c>
      <c r="H145" s="239"/>
      <c r="I145" s="239"/>
      <c r="J145" s="609">
        <v>14500</v>
      </c>
      <c r="K145" s="239"/>
      <c r="L145" s="197">
        <f t="shared" si="66"/>
        <v>8600</v>
      </c>
      <c r="M145" s="239"/>
      <c r="N145" s="239"/>
      <c r="O145" s="609">
        <v>8600</v>
      </c>
      <c r="P145" s="239"/>
      <c r="Q145" s="181">
        <f t="shared" si="70"/>
        <v>4000</v>
      </c>
      <c r="R145" s="239"/>
      <c r="S145" s="239"/>
      <c r="T145" s="609">
        <v>4000</v>
      </c>
      <c r="U145" s="239"/>
      <c r="V145" s="239"/>
      <c r="W145" s="239"/>
      <c r="X145" s="608" t="s">
        <v>1067</v>
      </c>
      <c r="AA145" s="593" t="s">
        <v>905</v>
      </c>
    </row>
    <row r="146" spans="1:27" ht="131.25">
      <c r="A146" s="224"/>
      <c r="B146" s="606" t="s">
        <v>1164</v>
      </c>
      <c r="C146" s="607" t="s">
        <v>1165</v>
      </c>
      <c r="D146" s="239"/>
      <c r="E146" s="239"/>
      <c r="F146" s="608" t="s">
        <v>1166</v>
      </c>
      <c r="G146" s="578">
        <f t="shared" si="71"/>
        <v>13700</v>
      </c>
      <c r="H146" s="239"/>
      <c r="I146" s="239"/>
      <c r="J146" s="609">
        <v>13700</v>
      </c>
      <c r="K146" s="239"/>
      <c r="L146" s="197">
        <f t="shared" si="66"/>
        <v>4000</v>
      </c>
      <c r="M146" s="239"/>
      <c r="N146" s="239"/>
      <c r="O146" s="609">
        <v>4000</v>
      </c>
      <c r="P146" s="239"/>
      <c r="Q146" s="181">
        <f t="shared" si="70"/>
        <v>8000</v>
      </c>
      <c r="R146" s="239"/>
      <c r="S146" s="239"/>
      <c r="T146" s="609">
        <v>8000</v>
      </c>
      <c r="U146" s="239"/>
      <c r="V146" s="239"/>
      <c r="W146" s="239"/>
      <c r="X146" s="608" t="s">
        <v>1067</v>
      </c>
      <c r="AA146" s="593" t="s">
        <v>905</v>
      </c>
    </row>
    <row r="147" spans="1:27" ht="75">
      <c r="A147" s="224"/>
      <c r="B147" s="606" t="s">
        <v>1167</v>
      </c>
      <c r="C147" s="607" t="s">
        <v>1165</v>
      </c>
      <c r="D147" s="239"/>
      <c r="E147" s="239"/>
      <c r="F147" s="608" t="s">
        <v>1166</v>
      </c>
      <c r="G147" s="578">
        <f t="shared" si="71"/>
        <v>12600</v>
      </c>
      <c r="H147" s="239"/>
      <c r="I147" s="239"/>
      <c r="J147" s="609">
        <v>12600</v>
      </c>
      <c r="K147" s="239"/>
      <c r="L147" s="197">
        <f t="shared" si="66"/>
        <v>3800</v>
      </c>
      <c r="M147" s="239"/>
      <c r="N147" s="239"/>
      <c r="O147" s="609">
        <v>3800</v>
      </c>
      <c r="P147" s="239"/>
      <c r="Q147" s="181">
        <f t="shared" si="70"/>
        <v>7000</v>
      </c>
      <c r="R147" s="239"/>
      <c r="S147" s="239"/>
      <c r="T147" s="609">
        <v>7000</v>
      </c>
      <c r="U147" s="239"/>
      <c r="V147" s="239"/>
      <c r="W147" s="239"/>
      <c r="X147" s="608" t="s">
        <v>1067</v>
      </c>
      <c r="AA147" s="593" t="s">
        <v>905</v>
      </c>
    </row>
    <row r="148" spans="1:27" ht="37.5">
      <c r="A148" s="224"/>
      <c r="B148" s="606" t="s">
        <v>1168</v>
      </c>
      <c r="C148" s="607" t="s">
        <v>954</v>
      </c>
      <c r="D148" s="239"/>
      <c r="E148" s="239"/>
      <c r="F148" s="608" t="s">
        <v>1169</v>
      </c>
      <c r="G148" s="578">
        <f t="shared" si="71"/>
        <v>50000</v>
      </c>
      <c r="H148" s="239"/>
      <c r="I148" s="239"/>
      <c r="J148" s="609">
        <v>50000</v>
      </c>
      <c r="K148" s="239"/>
      <c r="L148" s="197">
        <f t="shared" si="66"/>
        <v>27620</v>
      </c>
      <c r="M148" s="239"/>
      <c r="N148" s="239"/>
      <c r="O148" s="609">
        <v>27620</v>
      </c>
      <c r="P148" s="239"/>
      <c r="Q148" s="181">
        <f t="shared" si="70"/>
        <v>17000</v>
      </c>
      <c r="R148" s="239"/>
      <c r="S148" s="239"/>
      <c r="T148" s="609">
        <v>17000</v>
      </c>
      <c r="U148" s="239"/>
      <c r="V148" s="239"/>
      <c r="W148" s="239"/>
      <c r="X148" s="608" t="s">
        <v>1067</v>
      </c>
      <c r="AA148" s="593" t="s">
        <v>905</v>
      </c>
    </row>
    <row r="149" spans="1:27" ht="93.75">
      <c r="A149" s="224"/>
      <c r="B149" s="606" t="s">
        <v>1170</v>
      </c>
      <c r="C149" s="607" t="s">
        <v>1046</v>
      </c>
      <c r="D149" s="239"/>
      <c r="E149" s="239"/>
      <c r="F149" s="608" t="s">
        <v>1171</v>
      </c>
      <c r="G149" s="578">
        <f t="shared" si="71"/>
        <v>85125</v>
      </c>
      <c r="H149" s="239"/>
      <c r="I149" s="239"/>
      <c r="J149" s="609">
        <v>85125</v>
      </c>
      <c r="K149" s="239"/>
      <c r="L149" s="197">
        <f t="shared" si="66"/>
        <v>53593</v>
      </c>
      <c r="M149" s="239"/>
      <c r="N149" s="239"/>
      <c r="O149" s="609">
        <v>53593</v>
      </c>
      <c r="P149" s="239"/>
      <c r="Q149" s="181">
        <f t="shared" si="70"/>
        <v>17100</v>
      </c>
      <c r="R149" s="239"/>
      <c r="S149" s="239"/>
      <c r="T149" s="609">
        <v>17100</v>
      </c>
      <c r="U149" s="239"/>
      <c r="V149" s="239"/>
      <c r="W149" s="239"/>
      <c r="X149" s="608" t="s">
        <v>1067</v>
      </c>
      <c r="AA149" s="593" t="s">
        <v>905</v>
      </c>
    </row>
    <row r="150" spans="1:27" ht="89.25" customHeight="1">
      <c r="A150" s="224"/>
      <c r="B150" s="606" t="s">
        <v>1172</v>
      </c>
      <c r="C150" s="607" t="s">
        <v>954</v>
      </c>
      <c r="D150" s="239"/>
      <c r="E150" s="239"/>
      <c r="F150" s="608" t="s">
        <v>1173</v>
      </c>
      <c r="G150" s="578">
        <f t="shared" si="71"/>
        <v>12290</v>
      </c>
      <c r="H150" s="239"/>
      <c r="I150" s="239"/>
      <c r="J150" s="609">
        <v>12290</v>
      </c>
      <c r="K150" s="239"/>
      <c r="L150" s="197">
        <f t="shared" si="66"/>
        <v>5000</v>
      </c>
      <c r="M150" s="239"/>
      <c r="N150" s="239"/>
      <c r="O150" s="609">
        <v>5000</v>
      </c>
      <c r="P150" s="239"/>
      <c r="Q150" s="181">
        <f t="shared" si="70"/>
        <v>6000</v>
      </c>
      <c r="R150" s="239"/>
      <c r="S150" s="239"/>
      <c r="T150" s="609">
        <v>6000</v>
      </c>
      <c r="U150" s="239"/>
      <c r="V150" s="239"/>
      <c r="W150" s="239"/>
      <c r="X150" s="608" t="s">
        <v>1067</v>
      </c>
      <c r="AA150" s="593" t="s">
        <v>905</v>
      </c>
    </row>
    <row r="151" spans="1:27" ht="89.25" customHeight="1">
      <c r="A151" s="224"/>
      <c r="B151" s="650" t="s">
        <v>1174</v>
      </c>
      <c r="C151" s="651" t="s">
        <v>968</v>
      </c>
      <c r="D151" s="239"/>
      <c r="E151" s="239"/>
      <c r="F151" s="482" t="s">
        <v>1175</v>
      </c>
      <c r="G151" s="578">
        <f t="shared" si="71"/>
        <v>35000</v>
      </c>
      <c r="H151" s="239"/>
      <c r="I151" s="239"/>
      <c r="J151" s="652">
        <v>35000</v>
      </c>
      <c r="K151" s="239"/>
      <c r="L151" s="197">
        <f t="shared" si="66"/>
        <v>23200</v>
      </c>
      <c r="M151" s="239"/>
      <c r="N151" s="239"/>
      <c r="O151" s="652">
        <v>23200</v>
      </c>
      <c r="P151" s="239"/>
      <c r="Q151" s="181">
        <f t="shared" si="70"/>
        <v>5000</v>
      </c>
      <c r="R151" s="239"/>
      <c r="S151" s="239"/>
      <c r="T151" s="652">
        <v>5000</v>
      </c>
      <c r="U151" s="239"/>
      <c r="V151" s="239"/>
      <c r="W151" s="239"/>
      <c r="X151" s="608" t="s">
        <v>1067</v>
      </c>
      <c r="AA151" s="593" t="s">
        <v>1176</v>
      </c>
    </row>
    <row r="152" spans="1:27" ht="89.25" customHeight="1">
      <c r="A152" s="224"/>
      <c r="B152" s="650" t="s">
        <v>1177</v>
      </c>
      <c r="C152" s="651" t="s">
        <v>954</v>
      </c>
      <c r="D152" s="239"/>
      <c r="E152" s="239"/>
      <c r="F152" s="482" t="s">
        <v>1178</v>
      </c>
      <c r="G152" s="578">
        <f t="shared" si="71"/>
        <v>260000</v>
      </c>
      <c r="H152" s="239"/>
      <c r="I152" s="239"/>
      <c r="J152" s="652">
        <v>260000</v>
      </c>
      <c r="K152" s="239"/>
      <c r="L152" s="197">
        <f t="shared" si="66"/>
        <v>80300</v>
      </c>
      <c r="M152" s="239"/>
      <c r="N152" s="239"/>
      <c r="O152" s="652">
        <v>80300</v>
      </c>
      <c r="P152" s="239"/>
      <c r="Q152" s="181">
        <f t="shared" si="70"/>
        <v>50000</v>
      </c>
      <c r="R152" s="239"/>
      <c r="S152" s="239"/>
      <c r="T152" s="652">
        <v>50000</v>
      </c>
      <c r="U152" s="239"/>
      <c r="V152" s="239"/>
      <c r="W152" s="239"/>
      <c r="X152" s="608" t="s">
        <v>1067</v>
      </c>
      <c r="AA152" s="593" t="s">
        <v>1176</v>
      </c>
    </row>
    <row r="153" spans="1:27" ht="89.25" customHeight="1">
      <c r="A153" s="224"/>
      <c r="B153" s="650" t="s">
        <v>1179</v>
      </c>
      <c r="C153" s="651" t="s">
        <v>954</v>
      </c>
      <c r="D153" s="239"/>
      <c r="E153" s="239"/>
      <c r="F153" s="482" t="s">
        <v>1180</v>
      </c>
      <c r="G153" s="578">
        <f t="shared" si="71"/>
        <v>51700</v>
      </c>
      <c r="H153" s="239"/>
      <c r="I153" s="239"/>
      <c r="J153" s="652">
        <v>51700</v>
      </c>
      <c r="K153" s="239"/>
      <c r="L153" s="197">
        <f t="shared" si="66"/>
        <v>34200</v>
      </c>
      <c r="M153" s="239"/>
      <c r="N153" s="239"/>
      <c r="O153" s="652">
        <v>34200</v>
      </c>
      <c r="P153" s="239"/>
      <c r="Q153" s="181">
        <f t="shared" si="70"/>
        <v>12000</v>
      </c>
      <c r="R153" s="239"/>
      <c r="S153" s="239"/>
      <c r="T153" s="652">
        <v>12000</v>
      </c>
      <c r="U153" s="239"/>
      <c r="V153" s="239"/>
      <c r="W153" s="239"/>
      <c r="X153" s="608" t="s">
        <v>1067</v>
      </c>
      <c r="AA153" s="593" t="s">
        <v>1176</v>
      </c>
    </row>
    <row r="154" spans="1:27" ht="89.25" customHeight="1">
      <c r="A154" s="224"/>
      <c r="B154" s="650" t="s">
        <v>1181</v>
      </c>
      <c r="C154" s="651" t="s">
        <v>954</v>
      </c>
      <c r="D154" s="239"/>
      <c r="E154" s="239"/>
      <c r="F154" s="482" t="s">
        <v>1182</v>
      </c>
      <c r="G154" s="578">
        <f t="shared" si="71"/>
        <v>470000</v>
      </c>
      <c r="H154" s="239"/>
      <c r="I154" s="239"/>
      <c r="J154" s="652">
        <v>470000</v>
      </c>
      <c r="K154" s="239"/>
      <c r="L154" s="197">
        <f t="shared" si="66"/>
        <v>176000</v>
      </c>
      <c r="M154" s="239"/>
      <c r="N154" s="239"/>
      <c r="O154" s="652">
        <v>176000</v>
      </c>
      <c r="P154" s="239"/>
      <c r="Q154" s="181">
        <f t="shared" si="70"/>
        <v>50000</v>
      </c>
      <c r="R154" s="239"/>
      <c r="S154" s="239"/>
      <c r="T154" s="652">
        <v>50000</v>
      </c>
      <c r="U154" s="239"/>
      <c r="V154" s="239"/>
      <c r="W154" s="239"/>
      <c r="X154" s="608" t="s">
        <v>1067</v>
      </c>
      <c r="AA154" s="593" t="s">
        <v>1176</v>
      </c>
    </row>
    <row r="155" spans="1:27" ht="89.25" customHeight="1">
      <c r="A155" s="224"/>
      <c r="B155" s="650" t="s">
        <v>1183</v>
      </c>
      <c r="C155" s="651" t="s">
        <v>954</v>
      </c>
      <c r="D155" s="239"/>
      <c r="E155" s="239"/>
      <c r="F155" s="482" t="s">
        <v>1182</v>
      </c>
      <c r="G155" s="578">
        <f t="shared" si="71"/>
        <v>69199</v>
      </c>
      <c r="H155" s="239"/>
      <c r="I155" s="239"/>
      <c r="J155" s="652">
        <v>69199</v>
      </c>
      <c r="K155" s="239"/>
      <c r="L155" s="197">
        <f t="shared" si="66"/>
        <v>21946</v>
      </c>
      <c r="M155" s="239"/>
      <c r="N155" s="239"/>
      <c r="O155" s="652">
        <v>21946</v>
      </c>
      <c r="P155" s="239"/>
      <c r="Q155" s="181">
        <f t="shared" si="70"/>
        <v>2000</v>
      </c>
      <c r="R155" s="239"/>
      <c r="S155" s="239"/>
      <c r="T155" s="652">
        <v>2000</v>
      </c>
      <c r="U155" s="239"/>
      <c r="V155" s="239"/>
      <c r="W155" s="239"/>
      <c r="X155" s="608" t="s">
        <v>1067</v>
      </c>
      <c r="AA155" s="593" t="s">
        <v>1176</v>
      </c>
    </row>
    <row r="156" spans="1:27" ht="47.25" customHeight="1">
      <c r="A156" s="224"/>
      <c r="B156" s="650" t="s">
        <v>1184</v>
      </c>
      <c r="C156" s="651" t="s">
        <v>947</v>
      </c>
      <c r="D156" s="239"/>
      <c r="E156" s="239"/>
      <c r="F156" s="653" t="s">
        <v>1185</v>
      </c>
      <c r="G156" s="578">
        <f t="shared" si="71"/>
        <v>222852</v>
      </c>
      <c r="H156" s="239"/>
      <c r="I156" s="239"/>
      <c r="J156" s="652">
        <v>222852</v>
      </c>
      <c r="K156" s="239"/>
      <c r="L156" s="197">
        <f t="shared" si="66"/>
        <v>142607</v>
      </c>
      <c r="M156" s="239"/>
      <c r="N156" s="239"/>
      <c r="O156" s="652">
        <v>142607</v>
      </c>
      <c r="P156" s="239"/>
      <c r="Q156" s="181">
        <f t="shared" si="70"/>
        <v>30000</v>
      </c>
      <c r="R156" s="239"/>
      <c r="S156" s="239"/>
      <c r="T156" s="652">
        <v>30000</v>
      </c>
      <c r="U156" s="239"/>
      <c r="V156" s="239"/>
      <c r="W156" s="239"/>
      <c r="X156" s="608" t="s">
        <v>1067</v>
      </c>
      <c r="AA156" s="593" t="s">
        <v>1176</v>
      </c>
    </row>
    <row r="157" spans="1:27" ht="173.25" customHeight="1">
      <c r="A157" s="224"/>
      <c r="B157" s="650" t="s">
        <v>1186</v>
      </c>
      <c r="C157" s="651" t="s">
        <v>947</v>
      </c>
      <c r="D157" s="239"/>
      <c r="E157" s="239"/>
      <c r="F157" s="653" t="s">
        <v>1187</v>
      </c>
      <c r="G157" s="578">
        <f t="shared" si="71"/>
        <v>248285</v>
      </c>
      <c r="H157" s="239"/>
      <c r="I157" s="239"/>
      <c r="J157" s="652">
        <v>248285</v>
      </c>
      <c r="K157" s="239"/>
      <c r="L157" s="197">
        <f t="shared" si="66"/>
        <v>79719</v>
      </c>
      <c r="M157" s="239"/>
      <c r="N157" s="239"/>
      <c r="O157" s="652">
        <v>79719</v>
      </c>
      <c r="P157" s="239"/>
      <c r="Q157" s="181">
        <f t="shared" si="70"/>
        <v>37000</v>
      </c>
      <c r="R157" s="239"/>
      <c r="S157" s="239"/>
      <c r="T157" s="652">
        <v>37000</v>
      </c>
      <c r="U157" s="239"/>
      <c r="V157" s="239"/>
      <c r="W157" s="239"/>
      <c r="X157" s="608" t="s">
        <v>1067</v>
      </c>
      <c r="AA157" s="593" t="s">
        <v>1176</v>
      </c>
    </row>
    <row r="158" spans="1:27" ht="173.25" customHeight="1">
      <c r="A158" s="224"/>
      <c r="B158" s="654" t="s">
        <v>1188</v>
      </c>
      <c r="C158" s="651" t="s">
        <v>947</v>
      </c>
      <c r="D158" s="239"/>
      <c r="E158" s="239"/>
      <c r="F158" s="653" t="s">
        <v>1189</v>
      </c>
      <c r="G158" s="578">
        <f t="shared" si="71"/>
        <v>60000</v>
      </c>
      <c r="H158" s="239"/>
      <c r="I158" s="239"/>
      <c r="J158" s="655">
        <v>60000</v>
      </c>
      <c r="K158" s="239"/>
      <c r="L158" s="197">
        <f t="shared" si="66"/>
        <v>22000</v>
      </c>
      <c r="M158" s="239"/>
      <c r="N158" s="239"/>
      <c r="O158" s="655">
        <v>22000</v>
      </c>
      <c r="P158" s="239"/>
      <c r="Q158" s="181">
        <f t="shared" si="70"/>
        <v>30000</v>
      </c>
      <c r="R158" s="239"/>
      <c r="S158" s="239"/>
      <c r="T158" s="655">
        <v>30000</v>
      </c>
      <c r="U158" s="239"/>
      <c r="V158" s="239"/>
      <c r="W158" s="239"/>
      <c r="X158" s="608" t="s">
        <v>1067</v>
      </c>
      <c r="AA158" s="593" t="s">
        <v>1176</v>
      </c>
    </row>
    <row r="159" spans="1:27" ht="173.25" customHeight="1">
      <c r="A159" s="224"/>
      <c r="B159" s="654" t="s">
        <v>1190</v>
      </c>
      <c r="C159" s="651" t="s">
        <v>947</v>
      </c>
      <c r="D159" s="239"/>
      <c r="E159" s="239"/>
      <c r="F159" s="653" t="s">
        <v>1191</v>
      </c>
      <c r="G159" s="578">
        <f t="shared" si="71"/>
        <v>344568</v>
      </c>
      <c r="H159" s="239"/>
      <c r="I159" s="239"/>
      <c r="J159" s="655">
        <v>344568</v>
      </c>
      <c r="K159" s="239"/>
      <c r="L159" s="197">
        <f t="shared" si="66"/>
        <v>112000</v>
      </c>
      <c r="M159" s="239"/>
      <c r="N159" s="239"/>
      <c r="O159" s="655">
        <v>112000</v>
      </c>
      <c r="P159" s="239"/>
      <c r="Q159" s="181">
        <f t="shared" si="70"/>
        <v>30000</v>
      </c>
      <c r="R159" s="239"/>
      <c r="S159" s="239"/>
      <c r="T159" s="655">
        <v>30000</v>
      </c>
      <c r="U159" s="239"/>
      <c r="V159" s="239"/>
      <c r="W159" s="239"/>
      <c r="X159" s="608" t="s">
        <v>1067</v>
      </c>
      <c r="AA159" s="593" t="s">
        <v>1176</v>
      </c>
    </row>
    <row r="160" spans="1:27" ht="173.25" customHeight="1">
      <c r="A160" s="224"/>
      <c r="B160" s="654" t="s">
        <v>1192</v>
      </c>
      <c r="C160" s="651" t="s">
        <v>947</v>
      </c>
      <c r="D160" s="239"/>
      <c r="E160" s="239"/>
      <c r="F160" s="653" t="s">
        <v>1193</v>
      </c>
      <c r="G160" s="578">
        <f t="shared" si="71"/>
        <v>130637</v>
      </c>
      <c r="H160" s="239"/>
      <c r="I160" s="239"/>
      <c r="J160" s="655">
        <v>130637</v>
      </c>
      <c r="K160" s="239"/>
      <c r="L160" s="197">
        <f t="shared" si="66"/>
        <v>0</v>
      </c>
      <c r="M160" s="239"/>
      <c r="N160" s="239"/>
      <c r="O160" s="655">
        <v>0</v>
      </c>
      <c r="P160" s="239"/>
      <c r="Q160" s="181">
        <f t="shared" si="70"/>
        <v>50000</v>
      </c>
      <c r="R160" s="239"/>
      <c r="S160" s="239"/>
      <c r="T160" s="655">
        <v>50000</v>
      </c>
      <c r="U160" s="239"/>
      <c r="V160" s="239"/>
      <c r="W160" s="239"/>
      <c r="X160" s="608" t="s">
        <v>1067</v>
      </c>
      <c r="AA160" s="593" t="s">
        <v>1176</v>
      </c>
    </row>
    <row r="161" spans="1:29" s="298" customFormat="1" ht="45.75" customHeight="1">
      <c r="A161" s="294" t="s">
        <v>346</v>
      </c>
      <c r="B161" s="610" t="s">
        <v>923</v>
      </c>
      <c r="C161" s="611"/>
      <c r="D161" s="557"/>
      <c r="E161" s="557"/>
      <c r="F161" s="612"/>
      <c r="G161" s="295">
        <f>SUM(G162:G185)</f>
        <v>11201269</v>
      </c>
      <c r="H161" s="295">
        <f t="shared" ref="H161:W161" si="72">SUM(H162:H185)</f>
        <v>2348140</v>
      </c>
      <c r="I161" s="295">
        <f t="shared" si="72"/>
        <v>4131572</v>
      </c>
      <c r="J161" s="295">
        <f t="shared" si="72"/>
        <v>4721557</v>
      </c>
      <c r="K161" s="295">
        <f t="shared" si="72"/>
        <v>0</v>
      </c>
      <c r="L161" s="295">
        <f t="shared" si="72"/>
        <v>3212676</v>
      </c>
      <c r="M161" s="295">
        <f t="shared" si="72"/>
        <v>0</v>
      </c>
      <c r="N161" s="295">
        <f t="shared" si="72"/>
        <v>2000534</v>
      </c>
      <c r="O161" s="295">
        <f t="shared" si="72"/>
        <v>1212142</v>
      </c>
      <c r="P161" s="295">
        <f t="shared" si="72"/>
        <v>0</v>
      </c>
      <c r="Q161" s="295">
        <f t="shared" si="72"/>
        <v>1034271</v>
      </c>
      <c r="R161" s="295">
        <f t="shared" si="72"/>
        <v>149400</v>
      </c>
      <c r="S161" s="295">
        <f t="shared" si="72"/>
        <v>0</v>
      </c>
      <c r="T161" s="295">
        <f t="shared" si="72"/>
        <v>649601</v>
      </c>
      <c r="U161" s="295">
        <f t="shared" si="72"/>
        <v>0</v>
      </c>
      <c r="V161" s="295">
        <f t="shared" si="72"/>
        <v>117635</v>
      </c>
      <c r="W161" s="295">
        <f t="shared" si="72"/>
        <v>117635</v>
      </c>
      <c r="X161" s="612"/>
      <c r="Y161" s="297"/>
      <c r="Z161" s="297"/>
      <c r="AA161" s="597"/>
      <c r="AB161" s="597"/>
      <c r="AC161" s="597"/>
    </row>
    <row r="162" spans="1:29" s="298" customFormat="1" ht="45.75" customHeight="1">
      <c r="A162" s="294"/>
      <c r="B162" s="579" t="s">
        <v>1194</v>
      </c>
      <c r="C162" s="656" t="s">
        <v>947</v>
      </c>
      <c r="D162" s="557"/>
      <c r="E162" s="557"/>
      <c r="F162" s="657" t="s">
        <v>1195</v>
      </c>
      <c r="G162" s="197">
        <f>SUM(H162:J162)</f>
        <v>672287</v>
      </c>
      <c r="H162" s="658">
        <v>439140</v>
      </c>
      <c r="I162" s="295"/>
      <c r="J162" s="659">
        <v>233147</v>
      </c>
      <c r="K162" s="295"/>
      <c r="L162" s="295"/>
      <c r="M162" s="295"/>
      <c r="N162" s="295"/>
      <c r="O162" s="295"/>
      <c r="P162" s="295"/>
      <c r="Q162" s="181">
        <f>SUM(R162:W162)</f>
        <v>120000</v>
      </c>
      <c r="R162" s="295"/>
      <c r="S162" s="295"/>
      <c r="T162" s="295"/>
      <c r="U162" s="295"/>
      <c r="V162" s="659">
        <v>60000</v>
      </c>
      <c r="W162" s="659">
        <f>60000</f>
        <v>60000</v>
      </c>
      <c r="X162" s="608" t="s">
        <v>923</v>
      </c>
      <c r="Y162" s="297"/>
      <c r="Z162" s="297"/>
      <c r="AA162" s="597"/>
      <c r="AB162" s="597"/>
      <c r="AC162" s="597"/>
    </row>
    <row r="163" spans="1:29" s="298" customFormat="1" ht="45.75" customHeight="1">
      <c r="A163" s="294"/>
      <c r="B163" s="579" t="s">
        <v>1196</v>
      </c>
      <c r="C163" s="656" t="s">
        <v>947</v>
      </c>
      <c r="D163" s="557"/>
      <c r="E163" s="557"/>
      <c r="F163" s="657" t="s">
        <v>1197</v>
      </c>
      <c r="G163" s="197">
        <f>SUM(H163:J163)</f>
        <v>2754000</v>
      </c>
      <c r="H163" s="658">
        <v>1909000</v>
      </c>
      <c r="I163" s="295"/>
      <c r="J163" s="659">
        <v>845000</v>
      </c>
      <c r="K163" s="295"/>
      <c r="L163" s="295"/>
      <c r="M163" s="295"/>
      <c r="N163" s="295"/>
      <c r="O163" s="295"/>
      <c r="P163" s="295"/>
      <c r="Q163" s="181">
        <f>SUM(R163:W163)</f>
        <v>115270</v>
      </c>
      <c r="R163" s="295"/>
      <c r="S163" s="295"/>
      <c r="T163" s="295"/>
      <c r="U163" s="295"/>
      <c r="V163" s="659">
        <v>57635</v>
      </c>
      <c r="W163" s="659">
        <v>57635</v>
      </c>
      <c r="X163" s="608" t="s">
        <v>923</v>
      </c>
      <c r="Y163" s="297"/>
      <c r="Z163" s="297"/>
      <c r="AA163" s="597"/>
      <c r="AB163" s="597"/>
      <c r="AC163" s="597"/>
    </row>
    <row r="164" spans="1:29" s="281" customFormat="1" ht="109.5" customHeight="1">
      <c r="A164" s="238"/>
      <c r="B164" s="606" t="s">
        <v>1198</v>
      </c>
      <c r="C164" s="607" t="s">
        <v>1199</v>
      </c>
      <c r="D164" s="254"/>
      <c r="E164" s="254"/>
      <c r="F164" s="608" t="s">
        <v>1200</v>
      </c>
      <c r="G164" s="197">
        <f>SUM(H164:J164)</f>
        <v>815492</v>
      </c>
      <c r="H164" s="197"/>
      <c r="I164" s="197">
        <f>815492-J164</f>
        <v>730000</v>
      </c>
      <c r="J164" s="609">
        <v>85492</v>
      </c>
      <c r="K164" s="197"/>
      <c r="L164" s="197">
        <f>SUM(M164:P164)</f>
        <v>760285</v>
      </c>
      <c r="M164" s="197"/>
      <c r="N164" s="197">
        <f>760285-O164</f>
        <v>730000</v>
      </c>
      <c r="O164" s="609">
        <v>30285</v>
      </c>
      <c r="P164" s="197"/>
      <c r="Q164" s="181">
        <f>SUM(R164:W164)</f>
        <v>20000</v>
      </c>
      <c r="R164" s="609">
        <v>20000</v>
      </c>
      <c r="S164" s="197"/>
      <c r="T164" s="609"/>
      <c r="U164" s="197"/>
      <c r="V164" s="197"/>
      <c r="W164" s="197"/>
      <c r="X164" s="608" t="s">
        <v>923</v>
      </c>
      <c r="Y164" s="232"/>
      <c r="Z164" s="232"/>
      <c r="AA164" s="596" t="s">
        <v>905</v>
      </c>
      <c r="AB164" s="596"/>
      <c r="AC164" s="596"/>
    </row>
    <row r="165" spans="1:29" s="281" customFormat="1" ht="78.75" customHeight="1">
      <c r="A165" s="238"/>
      <c r="B165" s="606" t="s">
        <v>1201</v>
      </c>
      <c r="C165" s="607" t="s">
        <v>1202</v>
      </c>
      <c r="D165" s="254"/>
      <c r="E165" s="254"/>
      <c r="F165" s="608" t="s">
        <v>1203</v>
      </c>
      <c r="G165" s="197">
        <f t="shared" ref="G165:G185" si="73">SUM(H165:J165)</f>
        <v>263000</v>
      </c>
      <c r="H165" s="197"/>
      <c r="I165" s="197">
        <f>263000-101000</f>
        <v>162000</v>
      </c>
      <c r="J165" s="609">
        <v>101000</v>
      </c>
      <c r="K165" s="197"/>
      <c r="L165" s="197">
        <f t="shared" ref="L165:L171" si="74">SUM(M165:P165)</f>
        <v>205501</v>
      </c>
      <c r="M165" s="197"/>
      <c r="N165" s="197">
        <f>205501-O165</f>
        <v>162000</v>
      </c>
      <c r="O165" s="609">
        <v>43501</v>
      </c>
      <c r="P165" s="197"/>
      <c r="Q165" s="181">
        <f t="shared" ref="Q165:Q185" si="75">SUM(R165:W165)</f>
        <v>50000</v>
      </c>
      <c r="R165" s="609">
        <v>50000</v>
      </c>
      <c r="S165" s="197"/>
      <c r="T165" s="609"/>
      <c r="U165" s="197"/>
      <c r="V165" s="197"/>
      <c r="W165" s="197"/>
      <c r="X165" s="608" t="s">
        <v>923</v>
      </c>
      <c r="Y165" s="232"/>
      <c r="Z165" s="232"/>
      <c r="AA165" s="596" t="s">
        <v>905</v>
      </c>
      <c r="AB165" s="596"/>
      <c r="AC165" s="596"/>
    </row>
    <row r="166" spans="1:29" s="281" customFormat="1" ht="78" customHeight="1">
      <c r="A166" s="238"/>
      <c r="B166" s="606" t="s">
        <v>1204</v>
      </c>
      <c r="C166" s="607" t="s">
        <v>1079</v>
      </c>
      <c r="D166" s="254"/>
      <c r="E166" s="254"/>
      <c r="F166" s="608" t="s">
        <v>1205</v>
      </c>
      <c r="G166" s="197">
        <f t="shared" si="73"/>
        <v>150000</v>
      </c>
      <c r="H166" s="197"/>
      <c r="I166" s="197"/>
      <c r="J166" s="609">
        <v>150000</v>
      </c>
      <c r="K166" s="197"/>
      <c r="L166" s="197">
        <f t="shared" si="74"/>
        <v>43503</v>
      </c>
      <c r="M166" s="197"/>
      <c r="N166" s="197"/>
      <c r="O166" s="609">
        <v>43503</v>
      </c>
      <c r="P166" s="197"/>
      <c r="Q166" s="181">
        <f t="shared" si="75"/>
        <v>76000</v>
      </c>
      <c r="R166" s="609">
        <v>76000</v>
      </c>
      <c r="S166" s="197"/>
      <c r="T166" s="609"/>
      <c r="U166" s="197"/>
      <c r="V166" s="197"/>
      <c r="W166" s="197"/>
      <c r="X166" s="608" t="s">
        <v>923</v>
      </c>
      <c r="Y166" s="232"/>
      <c r="Z166" s="232"/>
      <c r="AA166" s="596" t="s">
        <v>905</v>
      </c>
      <c r="AB166" s="596"/>
      <c r="AC166" s="596"/>
    </row>
    <row r="167" spans="1:29" s="281" customFormat="1" ht="66" customHeight="1">
      <c r="A167" s="238"/>
      <c r="B167" s="606" t="s">
        <v>1206</v>
      </c>
      <c r="C167" s="607" t="s">
        <v>837</v>
      </c>
      <c r="D167" s="254"/>
      <c r="E167" s="254"/>
      <c r="F167" s="608" t="s">
        <v>1207</v>
      </c>
      <c r="G167" s="197">
        <f t="shared" si="73"/>
        <v>30000</v>
      </c>
      <c r="H167" s="197"/>
      <c r="I167" s="197"/>
      <c r="J167" s="609">
        <v>30000</v>
      </c>
      <c r="K167" s="197"/>
      <c r="L167" s="197">
        <f t="shared" si="74"/>
        <v>26200</v>
      </c>
      <c r="M167" s="197"/>
      <c r="N167" s="197"/>
      <c r="O167" s="609">
        <v>26200</v>
      </c>
      <c r="P167" s="197"/>
      <c r="Q167" s="181">
        <f t="shared" si="75"/>
        <v>1500</v>
      </c>
      <c r="R167" s="609">
        <v>1500</v>
      </c>
      <c r="S167" s="197"/>
      <c r="T167" s="609"/>
      <c r="U167" s="197"/>
      <c r="V167" s="197"/>
      <c r="W167" s="197"/>
      <c r="X167" s="608" t="s">
        <v>923</v>
      </c>
      <c r="Y167" s="232"/>
      <c r="Z167" s="232"/>
      <c r="AA167" s="596"/>
      <c r="AB167" s="596"/>
      <c r="AC167" s="596"/>
    </row>
    <row r="168" spans="1:29" s="281" customFormat="1" ht="72.75" customHeight="1">
      <c r="A168" s="238"/>
      <c r="B168" s="606" t="s">
        <v>1208</v>
      </c>
      <c r="C168" s="607" t="s">
        <v>947</v>
      </c>
      <c r="D168" s="254"/>
      <c r="E168" s="254"/>
      <c r="F168" s="608" t="s">
        <v>1209</v>
      </c>
      <c r="G168" s="197">
        <f t="shared" si="73"/>
        <v>14900</v>
      </c>
      <c r="H168" s="197"/>
      <c r="I168" s="197"/>
      <c r="J168" s="609">
        <v>14900</v>
      </c>
      <c r="K168" s="197"/>
      <c r="L168" s="197">
        <f t="shared" si="74"/>
        <v>11500</v>
      </c>
      <c r="M168" s="197"/>
      <c r="N168" s="197"/>
      <c r="O168" s="609">
        <v>11500</v>
      </c>
      <c r="P168" s="197"/>
      <c r="Q168" s="181">
        <f t="shared" si="75"/>
        <v>1900</v>
      </c>
      <c r="R168" s="609">
        <v>1900</v>
      </c>
      <c r="S168" s="197"/>
      <c r="T168" s="609"/>
      <c r="U168" s="197"/>
      <c r="V168" s="197"/>
      <c r="W168" s="197"/>
      <c r="X168" s="608" t="s">
        <v>923</v>
      </c>
      <c r="Y168" s="232"/>
      <c r="Z168" s="232"/>
      <c r="AA168" s="596"/>
      <c r="AB168" s="596"/>
      <c r="AC168" s="596"/>
    </row>
    <row r="169" spans="1:29" s="281" customFormat="1" ht="107.25" customHeight="1">
      <c r="A169" s="238"/>
      <c r="B169" s="606" t="s">
        <v>1210</v>
      </c>
      <c r="C169" s="607" t="s">
        <v>1211</v>
      </c>
      <c r="D169" s="254"/>
      <c r="E169" s="254"/>
      <c r="F169" s="608" t="s">
        <v>1212</v>
      </c>
      <c r="G169" s="197">
        <f t="shared" si="73"/>
        <v>156000</v>
      </c>
      <c r="H169" s="197"/>
      <c r="I169" s="197"/>
      <c r="J169" s="609">
        <v>156000</v>
      </c>
      <c r="K169" s="197"/>
      <c r="L169" s="197">
        <f t="shared" si="74"/>
        <v>100000</v>
      </c>
      <c r="M169" s="197"/>
      <c r="N169" s="197"/>
      <c r="O169" s="609">
        <v>100000</v>
      </c>
      <c r="P169" s="197"/>
      <c r="Q169" s="181">
        <f t="shared" si="75"/>
        <v>32000</v>
      </c>
      <c r="R169" s="609"/>
      <c r="S169" s="197"/>
      <c r="T169" s="609">
        <v>32000</v>
      </c>
      <c r="U169" s="197"/>
      <c r="V169" s="197"/>
      <c r="W169" s="197"/>
      <c r="X169" s="608" t="s">
        <v>923</v>
      </c>
      <c r="Y169" s="232"/>
      <c r="Z169" s="232"/>
      <c r="AA169" s="596" t="s">
        <v>905</v>
      </c>
      <c r="AB169" s="596"/>
      <c r="AC169" s="596"/>
    </row>
    <row r="170" spans="1:29" s="281" customFormat="1" ht="72" customHeight="1">
      <c r="A170" s="238"/>
      <c r="B170" s="606" t="s">
        <v>1213</v>
      </c>
      <c r="C170" s="607" t="s">
        <v>985</v>
      </c>
      <c r="D170" s="254"/>
      <c r="E170" s="254"/>
      <c r="F170" s="608" t="s">
        <v>1214</v>
      </c>
      <c r="G170" s="197">
        <f t="shared" si="73"/>
        <v>83000</v>
      </c>
      <c r="H170" s="197"/>
      <c r="I170" s="197"/>
      <c r="J170" s="609">
        <v>83000</v>
      </c>
      <c r="K170" s="197"/>
      <c r="L170" s="197">
        <f t="shared" si="74"/>
        <v>38300</v>
      </c>
      <c r="M170" s="197"/>
      <c r="N170" s="197"/>
      <c r="O170" s="609">
        <v>38300</v>
      </c>
      <c r="P170" s="197"/>
      <c r="Q170" s="181">
        <f t="shared" si="75"/>
        <v>32000</v>
      </c>
      <c r="R170" s="609"/>
      <c r="S170" s="197"/>
      <c r="T170" s="609">
        <v>32000</v>
      </c>
      <c r="U170" s="197"/>
      <c r="V170" s="197"/>
      <c r="W170" s="197"/>
      <c r="X170" s="608" t="s">
        <v>923</v>
      </c>
      <c r="Y170" s="232"/>
      <c r="Z170" s="232"/>
      <c r="AA170" s="596" t="s">
        <v>905</v>
      </c>
      <c r="AB170" s="596"/>
      <c r="AC170" s="596"/>
    </row>
    <row r="171" spans="1:29" s="281" customFormat="1" ht="62.25" customHeight="1">
      <c r="A171" s="238"/>
      <c r="B171" s="606" t="s">
        <v>1215</v>
      </c>
      <c r="C171" s="607" t="s">
        <v>1216</v>
      </c>
      <c r="D171" s="254"/>
      <c r="E171" s="254"/>
      <c r="F171" s="608" t="s">
        <v>1217</v>
      </c>
      <c r="G171" s="197">
        <f t="shared" si="73"/>
        <v>103250</v>
      </c>
      <c r="H171" s="197"/>
      <c r="I171" s="197"/>
      <c r="J171" s="609">
        <v>103250</v>
      </c>
      <c r="K171" s="197"/>
      <c r="L171" s="197">
        <f t="shared" si="74"/>
        <v>68200</v>
      </c>
      <c r="M171" s="197"/>
      <c r="N171" s="197"/>
      <c r="O171" s="609">
        <v>68200</v>
      </c>
      <c r="P171" s="197"/>
      <c r="Q171" s="181">
        <f t="shared" si="75"/>
        <v>22000</v>
      </c>
      <c r="R171" s="609"/>
      <c r="S171" s="197"/>
      <c r="T171" s="609">
        <v>22000</v>
      </c>
      <c r="U171" s="197"/>
      <c r="V171" s="197"/>
      <c r="W171" s="197"/>
      <c r="X171" s="608" t="s">
        <v>923</v>
      </c>
      <c r="Y171" s="232"/>
      <c r="Z171" s="232"/>
      <c r="AA171" s="596" t="s">
        <v>905</v>
      </c>
      <c r="AB171" s="596"/>
      <c r="AC171" s="596"/>
    </row>
    <row r="172" spans="1:29" s="281" customFormat="1" ht="162" customHeight="1">
      <c r="A172" s="238"/>
      <c r="B172" s="631" t="s">
        <v>1218</v>
      </c>
      <c r="C172" s="632" t="s">
        <v>830</v>
      </c>
      <c r="D172" s="254"/>
      <c r="E172" s="254"/>
      <c r="F172" s="632" t="s">
        <v>1219</v>
      </c>
      <c r="G172" s="197">
        <f t="shared" si="73"/>
        <v>670000</v>
      </c>
      <c r="H172" s="197"/>
      <c r="I172" s="197">
        <f>670000-J172</f>
        <v>610500</v>
      </c>
      <c r="J172" s="609">
        <v>59500</v>
      </c>
      <c r="K172" s="197"/>
      <c r="L172" s="197">
        <f>SUM(M172:P172)</f>
        <v>563462</v>
      </c>
      <c r="M172" s="197"/>
      <c r="N172" s="197">
        <f>563462-O172</f>
        <v>543962</v>
      </c>
      <c r="O172" s="633">
        <v>19500</v>
      </c>
      <c r="P172" s="197"/>
      <c r="Q172" s="181">
        <f t="shared" si="75"/>
        <v>40000</v>
      </c>
      <c r="R172" s="609"/>
      <c r="S172" s="197"/>
      <c r="T172" s="609">
        <v>40000</v>
      </c>
      <c r="U172" s="197"/>
      <c r="V172" s="197"/>
      <c r="W172" s="197"/>
      <c r="X172" s="608" t="s">
        <v>923</v>
      </c>
      <c r="Y172" s="232"/>
      <c r="Z172" s="232"/>
      <c r="AA172" s="596"/>
      <c r="AB172" s="596"/>
      <c r="AC172" s="596"/>
    </row>
    <row r="173" spans="1:29" s="281" customFormat="1" ht="162" customHeight="1">
      <c r="A173" s="238"/>
      <c r="B173" s="631" t="s">
        <v>1220</v>
      </c>
      <c r="C173" s="632" t="s">
        <v>947</v>
      </c>
      <c r="D173" s="254"/>
      <c r="E173" s="254"/>
      <c r="F173" s="632" t="s">
        <v>1221</v>
      </c>
      <c r="G173" s="197">
        <f t="shared" si="73"/>
        <v>780000</v>
      </c>
      <c r="H173" s="197"/>
      <c r="I173" s="197">
        <f>780000-J173</f>
        <v>561072</v>
      </c>
      <c r="J173" s="609">
        <v>218928</v>
      </c>
      <c r="K173" s="197"/>
      <c r="L173" s="197">
        <f t="shared" ref="L173:L185" si="76">SUM(M173:P173)</f>
        <v>610572</v>
      </c>
      <c r="M173" s="197"/>
      <c r="N173" s="197">
        <f>610572-O173</f>
        <v>564572</v>
      </c>
      <c r="O173" s="633">
        <v>46000</v>
      </c>
      <c r="P173" s="197"/>
      <c r="Q173" s="181">
        <f t="shared" si="75"/>
        <v>80000</v>
      </c>
      <c r="R173" s="609"/>
      <c r="S173" s="197"/>
      <c r="T173" s="609">
        <v>80000</v>
      </c>
      <c r="U173" s="197"/>
      <c r="V173" s="197"/>
      <c r="W173" s="197"/>
      <c r="X173" s="608" t="s">
        <v>923</v>
      </c>
      <c r="Y173" s="232"/>
      <c r="Z173" s="232"/>
      <c r="AA173" s="596"/>
      <c r="AB173" s="596"/>
      <c r="AC173" s="596"/>
    </row>
    <row r="174" spans="1:29" s="281" customFormat="1" ht="162" customHeight="1">
      <c r="A174" s="238"/>
      <c r="B174" s="631" t="s">
        <v>1222</v>
      </c>
      <c r="C174" s="632" t="s">
        <v>947</v>
      </c>
      <c r="D174" s="254"/>
      <c r="E174" s="254"/>
      <c r="F174" s="632" t="s">
        <v>1223</v>
      </c>
      <c r="G174" s="197">
        <f t="shared" si="73"/>
        <v>2518000</v>
      </c>
      <c r="H174" s="197"/>
      <c r="I174" s="197">
        <f>2518000-J174</f>
        <v>2068000</v>
      </c>
      <c r="J174" s="609">
        <v>450000</v>
      </c>
      <c r="K174" s="197"/>
      <c r="L174" s="197">
        <f t="shared" si="76"/>
        <v>218981</v>
      </c>
      <c r="M174" s="197"/>
      <c r="N174" s="197"/>
      <c r="O174" s="633">
        <v>218981</v>
      </c>
      <c r="P174" s="197"/>
      <c r="Q174" s="181">
        <f t="shared" si="75"/>
        <v>50000</v>
      </c>
      <c r="R174" s="609"/>
      <c r="S174" s="197"/>
      <c r="T174" s="609">
        <v>50000</v>
      </c>
      <c r="U174" s="197"/>
      <c r="V174" s="197"/>
      <c r="W174" s="197"/>
      <c r="X174" s="608" t="s">
        <v>923</v>
      </c>
      <c r="Y174" s="232"/>
      <c r="Z174" s="232"/>
      <c r="AA174" s="596"/>
      <c r="AB174" s="596"/>
      <c r="AC174" s="596"/>
    </row>
    <row r="175" spans="1:29" s="281" customFormat="1" ht="62.25" customHeight="1">
      <c r="A175" s="238"/>
      <c r="B175" s="631" t="s">
        <v>1224</v>
      </c>
      <c r="C175" s="632" t="s">
        <v>841</v>
      </c>
      <c r="D175" s="254"/>
      <c r="E175" s="254"/>
      <c r="F175" s="632" t="s">
        <v>1225</v>
      </c>
      <c r="G175" s="197">
        <f t="shared" si="73"/>
        <v>30000</v>
      </c>
      <c r="H175" s="197"/>
      <c r="I175" s="197"/>
      <c r="J175" s="633">
        <v>30000</v>
      </c>
      <c r="K175" s="197"/>
      <c r="L175" s="197">
        <f t="shared" si="76"/>
        <v>10300</v>
      </c>
      <c r="M175" s="197"/>
      <c r="N175" s="197"/>
      <c r="O175" s="633">
        <v>10300</v>
      </c>
      <c r="P175" s="197"/>
      <c r="Q175" s="181">
        <f t="shared" si="75"/>
        <v>16000</v>
      </c>
      <c r="R175" s="609"/>
      <c r="S175" s="197"/>
      <c r="T175" s="609">
        <v>16000</v>
      </c>
      <c r="U175" s="197"/>
      <c r="V175" s="197"/>
      <c r="W175" s="197"/>
      <c r="X175" s="608" t="s">
        <v>923</v>
      </c>
      <c r="Y175" s="232"/>
      <c r="Z175" s="232"/>
      <c r="AA175" s="596"/>
      <c r="AB175" s="596"/>
      <c r="AC175" s="596"/>
    </row>
    <row r="176" spans="1:29" s="281" customFormat="1" ht="62.25" customHeight="1">
      <c r="A176" s="238"/>
      <c r="B176" s="631" t="s">
        <v>1226</v>
      </c>
      <c r="C176" s="632" t="s">
        <v>1227</v>
      </c>
      <c r="D176" s="254"/>
      <c r="E176" s="254"/>
      <c r="F176" s="632" t="s">
        <v>1228</v>
      </c>
      <c r="G176" s="197">
        <f t="shared" si="73"/>
        <v>27340</v>
      </c>
      <c r="H176" s="197"/>
      <c r="I176" s="197"/>
      <c r="J176" s="633">
        <v>27340</v>
      </c>
      <c r="K176" s="197"/>
      <c r="L176" s="197">
        <f t="shared" si="76"/>
        <v>23340</v>
      </c>
      <c r="M176" s="197"/>
      <c r="N176" s="197"/>
      <c r="O176" s="633">
        <v>23340</v>
      </c>
      <c r="P176" s="197"/>
      <c r="Q176" s="181">
        <f t="shared" si="75"/>
        <v>1000</v>
      </c>
      <c r="R176" s="609"/>
      <c r="S176" s="197"/>
      <c r="T176" s="609">
        <v>1000</v>
      </c>
      <c r="U176" s="197"/>
      <c r="V176" s="197"/>
      <c r="W176" s="197"/>
      <c r="X176" s="608" t="s">
        <v>923</v>
      </c>
      <c r="Y176" s="232"/>
      <c r="Z176" s="232"/>
      <c r="AA176" s="596"/>
      <c r="AB176" s="596"/>
      <c r="AC176" s="596"/>
    </row>
    <row r="177" spans="1:29" s="281" customFormat="1" ht="62.25" customHeight="1">
      <c r="A177" s="238"/>
      <c r="B177" s="631" t="s">
        <v>1229</v>
      </c>
      <c r="C177" s="632" t="s">
        <v>1227</v>
      </c>
      <c r="D177" s="254"/>
      <c r="E177" s="254"/>
      <c r="F177" s="632" t="s">
        <v>1230</v>
      </c>
      <c r="G177" s="197">
        <f t="shared" si="73"/>
        <v>189000</v>
      </c>
      <c r="H177" s="197"/>
      <c r="I177" s="197"/>
      <c r="J177" s="633">
        <v>189000</v>
      </c>
      <c r="K177" s="197"/>
      <c r="L177" s="197">
        <f t="shared" si="76"/>
        <v>98200</v>
      </c>
      <c r="M177" s="197"/>
      <c r="N177" s="197"/>
      <c r="O177" s="633">
        <v>98200</v>
      </c>
      <c r="P177" s="197"/>
      <c r="Q177" s="181">
        <f t="shared" si="75"/>
        <v>55000</v>
      </c>
      <c r="R177" s="609"/>
      <c r="S177" s="197"/>
      <c r="T177" s="609">
        <v>55000</v>
      </c>
      <c r="U177" s="197"/>
      <c r="V177" s="197"/>
      <c r="W177" s="197"/>
      <c r="X177" s="608" t="s">
        <v>923</v>
      </c>
      <c r="Y177" s="232"/>
      <c r="Z177" s="232"/>
      <c r="AA177" s="596"/>
      <c r="AB177" s="596"/>
      <c r="AC177" s="596"/>
    </row>
    <row r="178" spans="1:29" s="281" customFormat="1" ht="85.5" customHeight="1">
      <c r="A178" s="238"/>
      <c r="B178" s="606" t="s">
        <v>1231</v>
      </c>
      <c r="C178" s="607" t="s">
        <v>1232</v>
      </c>
      <c r="D178" s="254"/>
      <c r="E178" s="254"/>
      <c r="F178" s="608" t="s">
        <v>1233</v>
      </c>
      <c r="G178" s="197">
        <f t="shared" si="73"/>
        <v>243000</v>
      </c>
      <c r="H178" s="197"/>
      <c r="I178" s="197"/>
      <c r="J178" s="609">
        <v>243000</v>
      </c>
      <c r="K178" s="197"/>
      <c r="L178" s="197">
        <f t="shared" si="76"/>
        <v>82361</v>
      </c>
      <c r="M178" s="197"/>
      <c r="N178" s="197"/>
      <c r="O178" s="609">
        <v>82361</v>
      </c>
      <c r="P178" s="197"/>
      <c r="Q178" s="181">
        <f t="shared" si="75"/>
        <v>50000</v>
      </c>
      <c r="R178" s="609"/>
      <c r="S178" s="197"/>
      <c r="T178" s="609">
        <v>50000</v>
      </c>
      <c r="U178" s="197"/>
      <c r="V178" s="197"/>
      <c r="W178" s="197"/>
      <c r="X178" s="608" t="s">
        <v>923</v>
      </c>
      <c r="Y178" s="232"/>
      <c r="Z178" s="232"/>
      <c r="AA178" s="596"/>
      <c r="AB178" s="596"/>
      <c r="AC178" s="596"/>
    </row>
    <row r="179" spans="1:29" s="281" customFormat="1" ht="85.5" customHeight="1">
      <c r="A179" s="238"/>
      <c r="B179" s="606" t="s">
        <v>1234</v>
      </c>
      <c r="C179" s="607" t="s">
        <v>1235</v>
      </c>
      <c r="D179" s="254"/>
      <c r="E179" s="254"/>
      <c r="F179" s="608" t="s">
        <v>1236</v>
      </c>
      <c r="G179" s="197">
        <f t="shared" si="73"/>
        <v>235000</v>
      </c>
      <c r="H179" s="197"/>
      <c r="I179" s="197"/>
      <c r="J179" s="609">
        <v>235000</v>
      </c>
      <c r="K179" s="197"/>
      <c r="L179" s="197">
        <f t="shared" si="76"/>
        <v>78008</v>
      </c>
      <c r="M179" s="197"/>
      <c r="N179" s="197"/>
      <c r="O179" s="609">
        <v>78008</v>
      </c>
      <c r="P179" s="197"/>
      <c r="Q179" s="181">
        <f t="shared" si="75"/>
        <v>45000</v>
      </c>
      <c r="R179" s="609"/>
      <c r="S179" s="197"/>
      <c r="T179" s="609">
        <v>45000</v>
      </c>
      <c r="U179" s="197"/>
      <c r="V179" s="197"/>
      <c r="W179" s="197"/>
      <c r="X179" s="608" t="s">
        <v>923</v>
      </c>
      <c r="Y179" s="232"/>
      <c r="Z179" s="232"/>
      <c r="AA179" s="596"/>
      <c r="AB179" s="596"/>
      <c r="AC179" s="596"/>
    </row>
    <row r="180" spans="1:29" s="281" customFormat="1" ht="85.5" customHeight="1">
      <c r="A180" s="238"/>
      <c r="B180" s="606" t="s">
        <v>1237</v>
      </c>
      <c r="C180" s="607" t="s">
        <v>947</v>
      </c>
      <c r="D180" s="254"/>
      <c r="E180" s="254"/>
      <c r="F180" s="608" t="s">
        <v>1238</v>
      </c>
      <c r="G180" s="197">
        <f t="shared" si="73"/>
        <v>360000</v>
      </c>
      <c r="H180" s="197"/>
      <c r="I180" s="197"/>
      <c r="J180" s="609">
        <v>360000</v>
      </c>
      <c r="K180" s="197"/>
      <c r="L180" s="197">
        <f t="shared" si="76"/>
        <v>89012</v>
      </c>
      <c r="M180" s="197"/>
      <c r="N180" s="197"/>
      <c r="O180" s="609">
        <v>89012</v>
      </c>
      <c r="P180" s="197"/>
      <c r="Q180" s="181">
        <f t="shared" si="75"/>
        <v>50000</v>
      </c>
      <c r="R180" s="609"/>
      <c r="S180" s="197"/>
      <c r="T180" s="609">
        <v>50000</v>
      </c>
      <c r="U180" s="197"/>
      <c r="V180" s="197"/>
      <c r="W180" s="197"/>
      <c r="X180" s="608" t="s">
        <v>923</v>
      </c>
      <c r="Y180" s="232"/>
      <c r="Z180" s="232"/>
      <c r="AA180" s="596"/>
      <c r="AB180" s="596"/>
      <c r="AC180" s="596"/>
    </row>
    <row r="181" spans="1:29" s="281" customFormat="1" ht="85.5" customHeight="1">
      <c r="A181" s="238"/>
      <c r="B181" s="606" t="s">
        <v>1239</v>
      </c>
      <c r="C181" s="607" t="s">
        <v>1240</v>
      </c>
      <c r="D181" s="254"/>
      <c r="E181" s="254"/>
      <c r="F181" s="608" t="s">
        <v>1241</v>
      </c>
      <c r="G181" s="197">
        <f t="shared" si="73"/>
        <v>380000</v>
      </c>
      <c r="H181" s="197"/>
      <c r="I181" s="197"/>
      <c r="J181" s="609">
        <v>380000</v>
      </c>
      <c r="K181" s="197"/>
      <c r="L181" s="197">
        <f t="shared" si="76"/>
        <v>97000</v>
      </c>
      <c r="M181" s="197"/>
      <c r="N181" s="197"/>
      <c r="O181" s="609">
        <v>97000</v>
      </c>
      <c r="P181" s="197"/>
      <c r="Q181" s="181">
        <f t="shared" si="75"/>
        <v>50000</v>
      </c>
      <c r="R181" s="609"/>
      <c r="S181" s="197"/>
      <c r="T181" s="609">
        <v>50000</v>
      </c>
      <c r="U181" s="197"/>
      <c r="V181" s="197"/>
      <c r="W181" s="197"/>
      <c r="X181" s="608" t="s">
        <v>923</v>
      </c>
      <c r="Y181" s="232"/>
      <c r="Z181" s="232"/>
      <c r="AA181" s="596"/>
      <c r="AB181" s="596"/>
      <c r="AC181" s="596"/>
    </row>
    <row r="182" spans="1:29" s="281" customFormat="1" ht="85.5" customHeight="1">
      <c r="A182" s="238"/>
      <c r="B182" s="606" t="s">
        <v>1242</v>
      </c>
      <c r="C182" s="607" t="s">
        <v>1243</v>
      </c>
      <c r="D182" s="254"/>
      <c r="E182" s="254"/>
      <c r="F182" s="608" t="s">
        <v>1244</v>
      </c>
      <c r="G182" s="197">
        <f t="shared" si="73"/>
        <v>427000</v>
      </c>
      <c r="H182" s="197"/>
      <c r="I182" s="197"/>
      <c r="J182" s="609">
        <v>427000</v>
      </c>
      <c r="K182" s="197"/>
      <c r="L182" s="197">
        <f t="shared" si="76"/>
        <v>62752</v>
      </c>
      <c r="M182" s="197"/>
      <c r="N182" s="197"/>
      <c r="O182" s="609">
        <v>62752</v>
      </c>
      <c r="P182" s="197"/>
      <c r="Q182" s="181">
        <f t="shared" si="75"/>
        <v>50000</v>
      </c>
      <c r="R182" s="609"/>
      <c r="S182" s="197"/>
      <c r="T182" s="609">
        <v>50000</v>
      </c>
      <c r="U182" s="197"/>
      <c r="V182" s="197"/>
      <c r="W182" s="197"/>
      <c r="X182" s="608" t="s">
        <v>923</v>
      </c>
      <c r="Y182" s="232"/>
      <c r="Z182" s="232"/>
      <c r="AA182" s="596"/>
      <c r="AB182" s="596"/>
      <c r="AC182" s="596"/>
    </row>
    <row r="183" spans="1:29" s="281" customFormat="1" ht="105" customHeight="1">
      <c r="A183" s="238"/>
      <c r="B183" s="606" t="s">
        <v>1245</v>
      </c>
      <c r="C183" s="607" t="s">
        <v>832</v>
      </c>
      <c r="D183" s="254"/>
      <c r="E183" s="254"/>
      <c r="F183" s="608" t="s">
        <v>1246</v>
      </c>
      <c r="G183" s="197">
        <f t="shared" si="73"/>
        <v>60000</v>
      </c>
      <c r="H183" s="197"/>
      <c r="I183" s="197"/>
      <c r="J183" s="609">
        <v>60000</v>
      </c>
      <c r="K183" s="197"/>
      <c r="L183" s="197">
        <f t="shared" si="76"/>
        <v>15500</v>
      </c>
      <c r="M183" s="197"/>
      <c r="N183" s="197"/>
      <c r="O183" s="609">
        <v>15500</v>
      </c>
      <c r="P183" s="197"/>
      <c r="Q183" s="181">
        <f t="shared" si="75"/>
        <v>16601</v>
      </c>
      <c r="R183" s="609"/>
      <c r="S183" s="197"/>
      <c r="T183" s="609">
        <f>1210+15391</f>
        <v>16601</v>
      </c>
      <c r="U183" s="197"/>
      <c r="V183" s="197"/>
      <c r="W183" s="197"/>
      <c r="X183" s="608" t="s">
        <v>923</v>
      </c>
      <c r="Y183" s="232"/>
      <c r="Z183" s="232"/>
      <c r="AA183" s="596"/>
      <c r="AB183" s="596"/>
      <c r="AC183" s="596"/>
    </row>
    <row r="184" spans="1:29" s="281" customFormat="1" ht="85.5" customHeight="1">
      <c r="A184" s="238"/>
      <c r="B184" s="606" t="s">
        <v>1247</v>
      </c>
      <c r="C184" s="607" t="s">
        <v>1248</v>
      </c>
      <c r="D184" s="254"/>
      <c r="E184" s="254"/>
      <c r="F184" s="608" t="s">
        <v>1249</v>
      </c>
      <c r="G184" s="197">
        <f t="shared" si="73"/>
        <v>210000</v>
      </c>
      <c r="H184" s="197"/>
      <c r="I184" s="197"/>
      <c r="J184" s="609">
        <v>210000</v>
      </c>
      <c r="K184" s="197"/>
      <c r="L184" s="197">
        <f t="shared" si="76"/>
        <v>699</v>
      </c>
      <c r="M184" s="197"/>
      <c r="N184" s="197"/>
      <c r="O184" s="609">
        <v>699</v>
      </c>
      <c r="P184" s="197"/>
      <c r="Q184" s="181">
        <f t="shared" si="75"/>
        <v>50000</v>
      </c>
      <c r="R184" s="609"/>
      <c r="S184" s="197"/>
      <c r="T184" s="609">
        <v>50000</v>
      </c>
      <c r="U184" s="197"/>
      <c r="V184" s="197"/>
      <c r="W184" s="197"/>
      <c r="X184" s="608" t="s">
        <v>923</v>
      </c>
      <c r="Y184" s="232"/>
      <c r="Z184" s="232"/>
      <c r="AA184" s="596"/>
      <c r="AB184" s="596"/>
      <c r="AC184" s="596"/>
    </row>
    <row r="185" spans="1:29" s="281" customFormat="1" ht="85.5" customHeight="1">
      <c r="A185" s="238"/>
      <c r="B185" s="606" t="s">
        <v>1250</v>
      </c>
      <c r="C185" s="607" t="s">
        <v>947</v>
      </c>
      <c r="D185" s="254"/>
      <c r="E185" s="254"/>
      <c r="F185" s="608" t="s">
        <v>1251</v>
      </c>
      <c r="G185" s="197">
        <f t="shared" si="73"/>
        <v>30000</v>
      </c>
      <c r="H185" s="197"/>
      <c r="I185" s="197"/>
      <c r="J185" s="609">
        <v>30000</v>
      </c>
      <c r="K185" s="197"/>
      <c r="L185" s="197">
        <f t="shared" si="76"/>
        <v>9000</v>
      </c>
      <c r="M185" s="197"/>
      <c r="N185" s="197"/>
      <c r="O185" s="609">
        <v>9000</v>
      </c>
      <c r="P185" s="197"/>
      <c r="Q185" s="181">
        <f t="shared" si="75"/>
        <v>10000</v>
      </c>
      <c r="R185" s="609"/>
      <c r="S185" s="197"/>
      <c r="T185" s="609">
        <v>10000</v>
      </c>
      <c r="U185" s="197"/>
      <c r="V185" s="197"/>
      <c r="W185" s="197"/>
      <c r="X185" s="608" t="s">
        <v>923</v>
      </c>
      <c r="Y185" s="232"/>
      <c r="Z185" s="232"/>
      <c r="AA185" s="596"/>
      <c r="AB185" s="596"/>
      <c r="AC185" s="596"/>
    </row>
    <row r="186" spans="1:29" s="298" customFormat="1" ht="37.5" customHeight="1">
      <c r="A186" s="294" t="s">
        <v>410</v>
      </c>
      <c r="B186" s="610" t="s">
        <v>924</v>
      </c>
      <c r="C186" s="611"/>
      <c r="D186" s="557"/>
      <c r="E186" s="557"/>
      <c r="F186" s="612"/>
      <c r="G186" s="295">
        <f>SUM(G187:G192)</f>
        <v>903161</v>
      </c>
      <c r="H186" s="295">
        <f t="shared" ref="H186:T186" si="77">SUM(H187:H192)</f>
        <v>0</v>
      </c>
      <c r="I186" s="295">
        <f t="shared" si="77"/>
        <v>0</v>
      </c>
      <c r="J186" s="295">
        <f t="shared" si="77"/>
        <v>903161</v>
      </c>
      <c r="K186" s="295">
        <f t="shared" si="77"/>
        <v>0</v>
      </c>
      <c r="L186" s="295">
        <f t="shared" si="77"/>
        <v>244622</v>
      </c>
      <c r="M186" s="295">
        <f t="shared" si="77"/>
        <v>0</v>
      </c>
      <c r="N186" s="295">
        <f t="shared" si="77"/>
        <v>0</v>
      </c>
      <c r="O186" s="295">
        <f t="shared" si="77"/>
        <v>244622</v>
      </c>
      <c r="P186" s="295">
        <f t="shared" si="77"/>
        <v>0</v>
      </c>
      <c r="Q186" s="295">
        <f t="shared" si="77"/>
        <v>215000</v>
      </c>
      <c r="R186" s="295">
        <f t="shared" si="77"/>
        <v>85000</v>
      </c>
      <c r="S186" s="295">
        <f t="shared" si="77"/>
        <v>0</v>
      </c>
      <c r="T186" s="295">
        <f t="shared" si="77"/>
        <v>130000</v>
      </c>
      <c r="U186" s="295">
        <f t="shared" ref="U186:V186" si="78">SUM(U187:U188)</f>
        <v>0</v>
      </c>
      <c r="V186" s="295">
        <f t="shared" si="78"/>
        <v>0</v>
      </c>
      <c r="W186" s="295"/>
      <c r="X186" s="612"/>
      <c r="Y186" s="297"/>
      <c r="Z186" s="297"/>
      <c r="AA186" s="597"/>
      <c r="AB186" s="597"/>
      <c r="AC186" s="597"/>
    </row>
    <row r="187" spans="1:29" s="281" customFormat="1" ht="67.5" customHeight="1">
      <c r="A187" s="238"/>
      <c r="B187" s="606" t="s">
        <v>751</v>
      </c>
      <c r="C187" s="607" t="s">
        <v>893</v>
      </c>
      <c r="D187" s="254"/>
      <c r="E187" s="254"/>
      <c r="F187" s="608" t="s">
        <v>452</v>
      </c>
      <c r="G187" s="197">
        <f>SUM(H187:K187)</f>
        <v>433161</v>
      </c>
      <c r="H187" s="197"/>
      <c r="I187" s="197"/>
      <c r="J187" s="609">
        <v>433161</v>
      </c>
      <c r="K187" s="197"/>
      <c r="L187" s="197">
        <f>SUM(M187:P187)</f>
        <v>116346</v>
      </c>
      <c r="M187" s="197"/>
      <c r="N187" s="197"/>
      <c r="O187" s="609">
        <v>116346</v>
      </c>
      <c r="P187" s="197"/>
      <c r="Q187" s="181">
        <f>SUM(R187:W187)</f>
        <v>52000</v>
      </c>
      <c r="R187" s="609">
        <v>15000</v>
      </c>
      <c r="S187" s="197"/>
      <c r="T187" s="609">
        <v>37000</v>
      </c>
      <c r="U187" s="197"/>
      <c r="V187" s="197"/>
      <c r="W187" s="197"/>
      <c r="X187" s="608" t="s">
        <v>924</v>
      </c>
      <c r="Y187" s="232"/>
      <c r="Z187" s="232"/>
      <c r="AA187" s="596"/>
      <c r="AB187" s="596"/>
      <c r="AC187" s="596"/>
    </row>
    <row r="188" spans="1:29" s="281" customFormat="1" ht="67.5" customHeight="1">
      <c r="A188" s="238"/>
      <c r="B188" s="606" t="s">
        <v>753</v>
      </c>
      <c r="C188" s="607" t="s">
        <v>896</v>
      </c>
      <c r="D188" s="254"/>
      <c r="E188" s="254"/>
      <c r="F188" s="608" t="s">
        <v>754</v>
      </c>
      <c r="G188" s="197">
        <f>SUM(H188:K188)</f>
        <v>75000</v>
      </c>
      <c r="H188" s="197"/>
      <c r="I188" s="197"/>
      <c r="J188" s="609">
        <v>75000</v>
      </c>
      <c r="K188" s="197"/>
      <c r="L188" s="197">
        <f>SUM(M188:P188)</f>
        <v>23000</v>
      </c>
      <c r="M188" s="197"/>
      <c r="N188" s="197"/>
      <c r="O188" s="609">
        <v>23000</v>
      </c>
      <c r="P188" s="197"/>
      <c r="Q188" s="181">
        <f>SUM(R188:W188)</f>
        <v>43000</v>
      </c>
      <c r="R188" s="609">
        <v>10000</v>
      </c>
      <c r="S188" s="197"/>
      <c r="T188" s="609">
        <v>33000</v>
      </c>
      <c r="U188" s="197"/>
      <c r="V188" s="197"/>
      <c r="W188" s="197"/>
      <c r="X188" s="608" t="s">
        <v>924</v>
      </c>
      <c r="Y188" s="232"/>
      <c r="Z188" s="232"/>
      <c r="AA188" s="596"/>
      <c r="AB188" s="596"/>
      <c r="AC188" s="596"/>
    </row>
    <row r="189" spans="1:29" s="281" customFormat="1" ht="67.5" customHeight="1">
      <c r="A189" s="238"/>
      <c r="B189" s="606" t="s">
        <v>752</v>
      </c>
      <c r="C189" s="607" t="s">
        <v>1252</v>
      </c>
      <c r="D189" s="254"/>
      <c r="E189" s="254"/>
      <c r="F189" s="608" t="s">
        <v>1253</v>
      </c>
      <c r="G189" s="197">
        <f t="shared" ref="G189:G192" si="79">SUM(H189:K189)</f>
        <v>250000</v>
      </c>
      <c r="H189" s="197"/>
      <c r="I189" s="197"/>
      <c r="J189" s="609">
        <v>250000</v>
      </c>
      <c r="K189" s="197"/>
      <c r="L189" s="197">
        <f t="shared" ref="L189:L192" si="80">SUM(M189:P189)</f>
        <v>98276</v>
      </c>
      <c r="M189" s="197"/>
      <c r="N189" s="197"/>
      <c r="O189" s="609">
        <v>98276</v>
      </c>
      <c r="P189" s="197"/>
      <c r="Q189" s="181">
        <f t="shared" ref="Q189:Q192" si="81">SUM(R189:W189)</f>
        <v>50000</v>
      </c>
      <c r="R189" s="609">
        <v>20000</v>
      </c>
      <c r="S189" s="197"/>
      <c r="T189" s="609">
        <v>30000</v>
      </c>
      <c r="U189" s="197"/>
      <c r="V189" s="197"/>
      <c r="W189" s="197"/>
      <c r="X189" s="608" t="s">
        <v>924</v>
      </c>
      <c r="Y189" s="232"/>
      <c r="Z189" s="232"/>
      <c r="AA189" s="596"/>
      <c r="AB189" s="596"/>
      <c r="AC189" s="596"/>
    </row>
    <row r="190" spans="1:29" s="281" customFormat="1" ht="67.5" customHeight="1">
      <c r="A190" s="238"/>
      <c r="B190" s="606" t="s">
        <v>1254</v>
      </c>
      <c r="C190" s="607" t="s">
        <v>1255</v>
      </c>
      <c r="D190" s="254"/>
      <c r="E190" s="254"/>
      <c r="F190" s="608" t="s">
        <v>1256</v>
      </c>
      <c r="G190" s="197">
        <f t="shared" si="79"/>
        <v>40000</v>
      </c>
      <c r="H190" s="197"/>
      <c r="I190" s="197"/>
      <c r="J190" s="609">
        <v>40000</v>
      </c>
      <c r="K190" s="197"/>
      <c r="L190" s="197">
        <f t="shared" si="80"/>
        <v>5000</v>
      </c>
      <c r="M190" s="197"/>
      <c r="N190" s="197"/>
      <c r="O190" s="609">
        <v>5000</v>
      </c>
      <c r="P190" s="197"/>
      <c r="Q190" s="181">
        <f t="shared" si="81"/>
        <v>20000</v>
      </c>
      <c r="R190" s="609">
        <v>10000</v>
      </c>
      <c r="S190" s="197"/>
      <c r="T190" s="609">
        <v>10000</v>
      </c>
      <c r="U190" s="197"/>
      <c r="V190" s="197"/>
      <c r="W190" s="197"/>
      <c r="X190" s="608" t="s">
        <v>924</v>
      </c>
      <c r="Y190" s="232"/>
      <c r="Z190" s="232"/>
      <c r="AA190" s="596"/>
      <c r="AB190" s="596"/>
      <c r="AC190" s="596"/>
    </row>
    <row r="191" spans="1:29" s="281" customFormat="1" ht="67.5" customHeight="1">
      <c r="A191" s="238"/>
      <c r="B191" s="606" t="s">
        <v>1257</v>
      </c>
      <c r="C191" s="607" t="s">
        <v>1252</v>
      </c>
      <c r="D191" s="254"/>
      <c r="E191" s="254"/>
      <c r="F191" s="608" t="s">
        <v>1258</v>
      </c>
      <c r="G191" s="197">
        <f t="shared" si="79"/>
        <v>50000</v>
      </c>
      <c r="H191" s="197"/>
      <c r="I191" s="197"/>
      <c r="J191" s="609">
        <v>50000</v>
      </c>
      <c r="K191" s="197"/>
      <c r="L191" s="197">
        <f t="shared" si="80"/>
        <v>1000</v>
      </c>
      <c r="M191" s="197"/>
      <c r="N191" s="197"/>
      <c r="O191" s="609">
        <v>1000</v>
      </c>
      <c r="P191" s="197"/>
      <c r="Q191" s="181">
        <f t="shared" si="81"/>
        <v>25000</v>
      </c>
      <c r="R191" s="609">
        <v>15000</v>
      </c>
      <c r="S191" s="197"/>
      <c r="T191" s="609">
        <v>10000</v>
      </c>
      <c r="U191" s="197"/>
      <c r="V191" s="197"/>
      <c r="W191" s="197"/>
      <c r="X191" s="608" t="s">
        <v>924</v>
      </c>
      <c r="Y191" s="232"/>
      <c r="Z191" s="232"/>
      <c r="AA191" s="596"/>
      <c r="AB191" s="596"/>
      <c r="AC191" s="596"/>
    </row>
    <row r="192" spans="1:29" s="281" customFormat="1" ht="67.5" customHeight="1">
      <c r="A192" s="238"/>
      <c r="B192" s="606" t="s">
        <v>1259</v>
      </c>
      <c r="C192" s="607" t="s">
        <v>1252</v>
      </c>
      <c r="D192" s="254"/>
      <c r="E192" s="254"/>
      <c r="F192" s="608" t="s">
        <v>1260</v>
      </c>
      <c r="G192" s="197">
        <f t="shared" si="79"/>
        <v>55000</v>
      </c>
      <c r="H192" s="197"/>
      <c r="I192" s="197"/>
      <c r="J192" s="609">
        <v>55000</v>
      </c>
      <c r="K192" s="197"/>
      <c r="L192" s="197">
        <f t="shared" si="80"/>
        <v>1000</v>
      </c>
      <c r="M192" s="197"/>
      <c r="N192" s="197"/>
      <c r="O192" s="609">
        <v>1000</v>
      </c>
      <c r="P192" s="197"/>
      <c r="Q192" s="181">
        <f t="shared" si="81"/>
        <v>25000</v>
      </c>
      <c r="R192" s="609">
        <v>15000</v>
      </c>
      <c r="S192" s="197"/>
      <c r="T192" s="609">
        <v>10000</v>
      </c>
      <c r="U192" s="197"/>
      <c r="V192" s="197"/>
      <c r="W192" s="197"/>
      <c r="X192" s="608" t="s">
        <v>924</v>
      </c>
      <c r="Y192" s="232"/>
      <c r="Z192" s="232"/>
      <c r="AA192" s="596"/>
      <c r="AB192" s="596"/>
      <c r="AC192" s="596"/>
    </row>
    <row r="193" spans="1:29" s="298" customFormat="1" ht="36" customHeight="1">
      <c r="A193" s="294" t="s">
        <v>180</v>
      </c>
      <c r="B193" s="610" t="s">
        <v>925</v>
      </c>
      <c r="C193" s="611"/>
      <c r="D193" s="557"/>
      <c r="E193" s="557"/>
      <c r="F193" s="612"/>
      <c r="G193" s="295">
        <f>SUM(G194:G201)</f>
        <v>180178</v>
      </c>
      <c r="H193" s="295">
        <f t="shared" ref="H193:W193" si="82">SUM(H194:H201)</f>
        <v>0</v>
      </c>
      <c r="I193" s="295">
        <f t="shared" si="82"/>
        <v>0</v>
      </c>
      <c r="J193" s="295">
        <f t="shared" si="82"/>
        <v>180178</v>
      </c>
      <c r="K193" s="295">
        <f t="shared" si="82"/>
        <v>0</v>
      </c>
      <c r="L193" s="295">
        <f t="shared" si="82"/>
        <v>160658</v>
      </c>
      <c r="M193" s="295">
        <f t="shared" si="82"/>
        <v>0</v>
      </c>
      <c r="N193" s="295">
        <f t="shared" si="82"/>
        <v>0</v>
      </c>
      <c r="O193" s="295">
        <f t="shared" si="82"/>
        <v>160658</v>
      </c>
      <c r="P193" s="295">
        <f t="shared" si="82"/>
        <v>0</v>
      </c>
      <c r="Q193" s="295">
        <f t="shared" si="82"/>
        <v>8547</v>
      </c>
      <c r="R193" s="295">
        <f t="shared" si="82"/>
        <v>6600</v>
      </c>
      <c r="S193" s="295">
        <f t="shared" si="82"/>
        <v>0</v>
      </c>
      <c r="T193" s="295">
        <f t="shared" si="82"/>
        <v>1947</v>
      </c>
      <c r="U193" s="295">
        <f t="shared" si="82"/>
        <v>0</v>
      </c>
      <c r="V193" s="295">
        <f t="shared" si="82"/>
        <v>0</v>
      </c>
      <c r="W193" s="295">
        <f t="shared" si="82"/>
        <v>0</v>
      </c>
      <c r="X193" s="294"/>
      <c r="Y193" s="297"/>
      <c r="Z193" s="297"/>
      <c r="AA193" s="597"/>
      <c r="AB193" s="597"/>
      <c r="AC193" s="597"/>
    </row>
    <row r="194" spans="1:29" s="281" customFormat="1" ht="82.5" customHeight="1">
      <c r="A194" s="238"/>
      <c r="B194" s="606" t="s">
        <v>1261</v>
      </c>
      <c r="C194" s="607" t="s">
        <v>1262</v>
      </c>
      <c r="D194" s="254"/>
      <c r="E194" s="254"/>
      <c r="F194" s="608" t="s">
        <v>1263</v>
      </c>
      <c r="G194" s="197">
        <f t="shared" ref="G194:G230" si="83">SUM(H194:K194)</f>
        <v>27438</v>
      </c>
      <c r="H194" s="197"/>
      <c r="I194" s="197"/>
      <c r="J194" s="609">
        <v>27438</v>
      </c>
      <c r="K194" s="197"/>
      <c r="L194" s="197">
        <f t="shared" ref="L194:L230" si="84">SUM(M194:P194)</f>
        <v>27300</v>
      </c>
      <c r="M194" s="197"/>
      <c r="N194" s="197"/>
      <c r="O194" s="609">
        <v>27300</v>
      </c>
      <c r="P194" s="197"/>
      <c r="Q194" s="181">
        <f t="shared" ref="Q194:Q215" si="85">SUM(R194:W194)</f>
        <v>138</v>
      </c>
      <c r="R194" s="609"/>
      <c r="S194" s="197"/>
      <c r="T194" s="609">
        <v>138</v>
      </c>
      <c r="U194" s="197"/>
      <c r="V194" s="197"/>
      <c r="W194" s="197"/>
      <c r="X194" s="621" t="s">
        <v>925</v>
      </c>
      <c r="Y194" s="232"/>
      <c r="Z194" s="232"/>
      <c r="AA194" s="596"/>
      <c r="AB194" s="596"/>
      <c r="AC194" s="596"/>
    </row>
    <row r="195" spans="1:29" s="281" customFormat="1" ht="82.5" customHeight="1">
      <c r="A195" s="238"/>
      <c r="B195" s="606" t="s">
        <v>1264</v>
      </c>
      <c r="C195" s="607" t="s">
        <v>954</v>
      </c>
      <c r="D195" s="254"/>
      <c r="E195" s="254"/>
      <c r="F195" s="608" t="s">
        <v>1265</v>
      </c>
      <c r="G195" s="197">
        <f t="shared" si="83"/>
        <v>7709</v>
      </c>
      <c r="H195" s="197"/>
      <c r="I195" s="197"/>
      <c r="J195" s="609">
        <v>7709</v>
      </c>
      <c r="K195" s="197"/>
      <c r="L195" s="197">
        <f t="shared" si="84"/>
        <v>6400</v>
      </c>
      <c r="M195" s="197"/>
      <c r="N195" s="197"/>
      <c r="O195" s="609">
        <v>6400</v>
      </c>
      <c r="P195" s="197"/>
      <c r="Q195" s="181">
        <f t="shared" si="85"/>
        <v>1309</v>
      </c>
      <c r="R195" s="609"/>
      <c r="S195" s="197"/>
      <c r="T195" s="609">
        <v>1309</v>
      </c>
      <c r="U195" s="197"/>
      <c r="V195" s="197"/>
      <c r="W195" s="197"/>
      <c r="X195" s="621" t="s">
        <v>925</v>
      </c>
      <c r="Y195" s="232"/>
      <c r="Z195" s="232"/>
      <c r="AA195" s="596"/>
      <c r="AB195" s="596"/>
      <c r="AC195" s="596"/>
    </row>
    <row r="196" spans="1:29" s="281" customFormat="1" ht="79.5" customHeight="1">
      <c r="A196" s="238"/>
      <c r="B196" s="606" t="s">
        <v>1266</v>
      </c>
      <c r="C196" s="607" t="s">
        <v>1267</v>
      </c>
      <c r="D196" s="254"/>
      <c r="E196" s="254"/>
      <c r="F196" s="608" t="s">
        <v>1268</v>
      </c>
      <c r="G196" s="197">
        <f t="shared" si="83"/>
        <v>30000</v>
      </c>
      <c r="H196" s="197"/>
      <c r="I196" s="197"/>
      <c r="J196" s="609">
        <v>30000</v>
      </c>
      <c r="K196" s="197"/>
      <c r="L196" s="197">
        <f t="shared" si="84"/>
        <v>26600</v>
      </c>
      <c r="M196" s="197"/>
      <c r="N196" s="197"/>
      <c r="O196" s="609">
        <v>26600</v>
      </c>
      <c r="P196" s="197"/>
      <c r="Q196" s="181">
        <f t="shared" si="85"/>
        <v>2000</v>
      </c>
      <c r="R196" s="609">
        <v>2000</v>
      </c>
      <c r="S196" s="197"/>
      <c r="T196" s="609"/>
      <c r="U196" s="197"/>
      <c r="V196" s="197"/>
      <c r="W196" s="197"/>
      <c r="X196" s="608" t="s">
        <v>925</v>
      </c>
      <c r="Y196" s="232"/>
      <c r="Z196" s="232"/>
      <c r="AA196" s="596"/>
      <c r="AB196" s="596"/>
      <c r="AC196" s="596"/>
    </row>
    <row r="197" spans="1:29" s="281" customFormat="1" ht="79.5" customHeight="1">
      <c r="A197" s="238"/>
      <c r="B197" s="606" t="s">
        <v>1269</v>
      </c>
      <c r="C197" s="607" t="s">
        <v>954</v>
      </c>
      <c r="D197" s="254"/>
      <c r="E197" s="254"/>
      <c r="F197" s="608" t="s">
        <v>1270</v>
      </c>
      <c r="G197" s="197">
        <f t="shared" si="83"/>
        <v>30158</v>
      </c>
      <c r="H197" s="197"/>
      <c r="I197" s="197"/>
      <c r="J197" s="609">
        <v>30158</v>
      </c>
      <c r="K197" s="197"/>
      <c r="L197" s="197">
        <f t="shared" si="84"/>
        <v>27806</v>
      </c>
      <c r="M197" s="197"/>
      <c r="N197" s="197"/>
      <c r="O197" s="609">
        <f>26206+1600</f>
        <v>27806</v>
      </c>
      <c r="P197" s="197"/>
      <c r="Q197" s="181">
        <f t="shared" si="85"/>
        <v>800</v>
      </c>
      <c r="R197" s="609">
        <v>800</v>
      </c>
      <c r="S197" s="197"/>
      <c r="T197" s="609"/>
      <c r="U197" s="197"/>
      <c r="V197" s="197"/>
      <c r="W197" s="197"/>
      <c r="X197" s="608" t="s">
        <v>925</v>
      </c>
      <c r="Y197" s="232"/>
      <c r="Z197" s="232"/>
      <c r="AA197" s="596"/>
      <c r="AB197" s="596"/>
      <c r="AC197" s="596"/>
    </row>
    <row r="198" spans="1:29" s="281" customFormat="1" ht="79.5" customHeight="1">
      <c r="A198" s="238"/>
      <c r="B198" s="606" t="s">
        <v>1271</v>
      </c>
      <c r="C198" s="607" t="s">
        <v>814</v>
      </c>
      <c r="D198" s="254"/>
      <c r="E198" s="254"/>
      <c r="F198" s="608" t="s">
        <v>1272</v>
      </c>
      <c r="G198" s="197">
        <f t="shared" si="83"/>
        <v>9850</v>
      </c>
      <c r="H198" s="197"/>
      <c r="I198" s="197"/>
      <c r="J198" s="609">
        <v>9850</v>
      </c>
      <c r="K198" s="197"/>
      <c r="L198" s="197">
        <f t="shared" si="84"/>
        <v>7207</v>
      </c>
      <c r="M198" s="197"/>
      <c r="N198" s="197"/>
      <c r="O198" s="609">
        <v>7207</v>
      </c>
      <c r="P198" s="197"/>
      <c r="Q198" s="181">
        <f t="shared" si="85"/>
        <v>800</v>
      </c>
      <c r="R198" s="609">
        <v>800</v>
      </c>
      <c r="S198" s="197"/>
      <c r="T198" s="609"/>
      <c r="U198" s="197"/>
      <c r="V198" s="197"/>
      <c r="W198" s="197"/>
      <c r="X198" s="608" t="s">
        <v>925</v>
      </c>
      <c r="Y198" s="232"/>
      <c r="Z198" s="232"/>
      <c r="AA198" s="596"/>
      <c r="AB198" s="596"/>
      <c r="AC198" s="596"/>
    </row>
    <row r="199" spans="1:29" s="281" customFormat="1" ht="79.5" customHeight="1">
      <c r="A199" s="238"/>
      <c r="B199" s="606" t="s">
        <v>1273</v>
      </c>
      <c r="C199" s="607" t="s">
        <v>1086</v>
      </c>
      <c r="D199" s="254"/>
      <c r="E199" s="254"/>
      <c r="F199" s="608" t="s">
        <v>1274</v>
      </c>
      <c r="G199" s="197">
        <f t="shared" si="83"/>
        <v>37723</v>
      </c>
      <c r="H199" s="197"/>
      <c r="I199" s="197"/>
      <c r="J199" s="609">
        <v>37723</v>
      </c>
      <c r="K199" s="197"/>
      <c r="L199" s="197">
        <f t="shared" si="84"/>
        <v>33210</v>
      </c>
      <c r="M199" s="197"/>
      <c r="N199" s="197"/>
      <c r="O199" s="609">
        <v>33210</v>
      </c>
      <c r="P199" s="197"/>
      <c r="Q199" s="181">
        <f t="shared" si="85"/>
        <v>2000</v>
      </c>
      <c r="R199" s="609">
        <v>2000</v>
      </c>
      <c r="S199" s="197"/>
      <c r="T199" s="609"/>
      <c r="U199" s="197"/>
      <c r="V199" s="197"/>
      <c r="W199" s="197"/>
      <c r="X199" s="608" t="s">
        <v>925</v>
      </c>
      <c r="Y199" s="232"/>
      <c r="Z199" s="232"/>
      <c r="AA199" s="596"/>
      <c r="AB199" s="596"/>
      <c r="AC199" s="596"/>
    </row>
    <row r="200" spans="1:29" s="281" customFormat="1" ht="79.5" customHeight="1">
      <c r="A200" s="238"/>
      <c r="B200" s="606" t="s">
        <v>1275</v>
      </c>
      <c r="C200" s="607" t="s">
        <v>1276</v>
      </c>
      <c r="D200" s="254"/>
      <c r="E200" s="254"/>
      <c r="F200" s="608" t="s">
        <v>1277</v>
      </c>
      <c r="G200" s="197">
        <f t="shared" si="83"/>
        <v>28700</v>
      </c>
      <c r="H200" s="197"/>
      <c r="I200" s="197"/>
      <c r="J200" s="609">
        <v>28700</v>
      </c>
      <c r="K200" s="197"/>
      <c r="L200" s="197">
        <f t="shared" si="84"/>
        <v>24835</v>
      </c>
      <c r="M200" s="197"/>
      <c r="N200" s="197"/>
      <c r="O200" s="609">
        <v>24835</v>
      </c>
      <c r="P200" s="197"/>
      <c r="Q200" s="181">
        <f t="shared" si="85"/>
        <v>1000</v>
      </c>
      <c r="R200" s="609">
        <v>1000</v>
      </c>
      <c r="S200" s="197"/>
      <c r="T200" s="609"/>
      <c r="U200" s="197"/>
      <c r="V200" s="197"/>
      <c r="W200" s="197"/>
      <c r="X200" s="608" t="s">
        <v>925</v>
      </c>
      <c r="Y200" s="232"/>
      <c r="Z200" s="232"/>
      <c r="AA200" s="596"/>
      <c r="AB200" s="596"/>
      <c r="AC200" s="596"/>
    </row>
    <row r="201" spans="1:29" s="281" customFormat="1" ht="79.5" customHeight="1">
      <c r="A201" s="238"/>
      <c r="B201" s="606" t="s">
        <v>1278</v>
      </c>
      <c r="C201" s="607" t="s">
        <v>1086</v>
      </c>
      <c r="D201" s="254"/>
      <c r="E201" s="254"/>
      <c r="F201" s="608" t="s">
        <v>1279</v>
      </c>
      <c r="G201" s="197">
        <f t="shared" si="83"/>
        <v>8600</v>
      </c>
      <c r="H201" s="197"/>
      <c r="I201" s="197"/>
      <c r="J201" s="609">
        <v>8600</v>
      </c>
      <c r="K201" s="197"/>
      <c r="L201" s="197">
        <f t="shared" si="84"/>
        <v>7300</v>
      </c>
      <c r="M201" s="197"/>
      <c r="N201" s="197"/>
      <c r="O201" s="609">
        <v>7300</v>
      </c>
      <c r="P201" s="197"/>
      <c r="Q201" s="181">
        <f t="shared" si="85"/>
        <v>500</v>
      </c>
      <c r="R201" s="609"/>
      <c r="S201" s="197"/>
      <c r="T201" s="609">
        <v>500</v>
      </c>
      <c r="U201" s="197"/>
      <c r="V201" s="197"/>
      <c r="W201" s="197"/>
      <c r="X201" s="608" t="s">
        <v>925</v>
      </c>
      <c r="Y201" s="232"/>
      <c r="Z201" s="232"/>
      <c r="AA201" s="596"/>
      <c r="AB201" s="596"/>
      <c r="AC201" s="596"/>
    </row>
    <row r="202" spans="1:29" s="298" customFormat="1" ht="36" customHeight="1">
      <c r="A202" s="294" t="s">
        <v>353</v>
      </c>
      <c r="B202" s="610" t="s">
        <v>929</v>
      </c>
      <c r="C202" s="611"/>
      <c r="D202" s="557"/>
      <c r="E202" s="557"/>
      <c r="F202" s="612"/>
      <c r="G202" s="295">
        <f>SUM(G203:G226)</f>
        <v>1314967</v>
      </c>
      <c r="H202" s="295">
        <f t="shared" ref="H202:W202" si="86">SUM(H203:H226)</f>
        <v>0</v>
      </c>
      <c r="I202" s="295">
        <f t="shared" si="86"/>
        <v>0</v>
      </c>
      <c r="J202" s="295">
        <f t="shared" si="86"/>
        <v>1314967</v>
      </c>
      <c r="K202" s="295">
        <f t="shared" si="86"/>
        <v>0</v>
      </c>
      <c r="L202" s="295">
        <f t="shared" si="86"/>
        <v>1181359</v>
      </c>
      <c r="M202" s="295">
        <f t="shared" si="86"/>
        <v>0</v>
      </c>
      <c r="N202" s="295">
        <f t="shared" si="86"/>
        <v>0</v>
      </c>
      <c r="O202" s="295">
        <f t="shared" si="86"/>
        <v>1181359</v>
      </c>
      <c r="P202" s="295">
        <f t="shared" si="86"/>
        <v>0</v>
      </c>
      <c r="Q202" s="295">
        <f t="shared" si="86"/>
        <v>66859</v>
      </c>
      <c r="R202" s="295">
        <f t="shared" si="86"/>
        <v>10388</v>
      </c>
      <c r="S202" s="295">
        <f t="shared" si="86"/>
        <v>0</v>
      </c>
      <c r="T202" s="295">
        <f>SUM(T203:T226)</f>
        <v>56471</v>
      </c>
      <c r="U202" s="295">
        <f t="shared" si="86"/>
        <v>0</v>
      </c>
      <c r="V202" s="295">
        <f t="shared" si="86"/>
        <v>0</v>
      </c>
      <c r="W202" s="295">
        <f t="shared" si="86"/>
        <v>0</v>
      </c>
      <c r="X202" s="294"/>
      <c r="Y202" s="297"/>
      <c r="Z202" s="297"/>
      <c r="AA202" s="597"/>
      <c r="AB202" s="597"/>
      <c r="AC202" s="597"/>
    </row>
    <row r="203" spans="1:29" s="281" customFormat="1" ht="83.25" customHeight="1">
      <c r="A203" s="238"/>
      <c r="B203" s="606" t="s">
        <v>1280</v>
      </c>
      <c r="C203" s="607" t="s">
        <v>1029</v>
      </c>
      <c r="D203" s="254"/>
      <c r="E203" s="254"/>
      <c r="F203" s="608" t="s">
        <v>1281</v>
      </c>
      <c r="G203" s="197">
        <f t="shared" si="83"/>
        <v>13302</v>
      </c>
      <c r="H203" s="197"/>
      <c r="I203" s="197"/>
      <c r="J203" s="609">
        <v>13302</v>
      </c>
      <c r="K203" s="197"/>
      <c r="L203" s="197">
        <f t="shared" si="84"/>
        <v>13046</v>
      </c>
      <c r="M203" s="197"/>
      <c r="N203" s="197"/>
      <c r="O203" s="609">
        <v>13046</v>
      </c>
      <c r="P203" s="197"/>
      <c r="Q203" s="181">
        <f t="shared" si="85"/>
        <v>256</v>
      </c>
      <c r="R203" s="609">
        <v>256</v>
      </c>
      <c r="S203" s="197"/>
      <c r="T203" s="609"/>
      <c r="U203" s="197"/>
      <c r="V203" s="197"/>
      <c r="W203" s="197"/>
      <c r="X203" s="621" t="s">
        <v>929</v>
      </c>
      <c r="Y203" s="232"/>
      <c r="Z203" s="232"/>
      <c r="AA203" s="596"/>
      <c r="AB203" s="596"/>
      <c r="AC203" s="596"/>
    </row>
    <row r="204" spans="1:29" s="281" customFormat="1" ht="102.75" customHeight="1">
      <c r="A204" s="238"/>
      <c r="B204" s="606" t="s">
        <v>1282</v>
      </c>
      <c r="C204" s="607" t="s">
        <v>1283</v>
      </c>
      <c r="D204" s="254"/>
      <c r="E204" s="254"/>
      <c r="F204" s="608" t="s">
        <v>1284</v>
      </c>
      <c r="G204" s="197">
        <f t="shared" si="83"/>
        <v>7536</v>
      </c>
      <c r="H204" s="197"/>
      <c r="I204" s="197"/>
      <c r="J204" s="609">
        <v>7536</v>
      </c>
      <c r="K204" s="197"/>
      <c r="L204" s="197">
        <f t="shared" si="84"/>
        <v>7404</v>
      </c>
      <c r="M204" s="197"/>
      <c r="N204" s="197"/>
      <c r="O204" s="609">
        <v>7404</v>
      </c>
      <c r="P204" s="197"/>
      <c r="Q204" s="181">
        <f t="shared" si="85"/>
        <v>132</v>
      </c>
      <c r="R204" s="609">
        <v>132</v>
      </c>
      <c r="S204" s="197"/>
      <c r="T204" s="609"/>
      <c r="U204" s="197"/>
      <c r="V204" s="197"/>
      <c r="W204" s="197"/>
      <c r="X204" s="621" t="s">
        <v>929</v>
      </c>
      <c r="Y204" s="232"/>
      <c r="Z204" s="232"/>
      <c r="AA204" s="596"/>
      <c r="AB204" s="596"/>
      <c r="AC204" s="596"/>
    </row>
    <row r="205" spans="1:29" s="281" customFormat="1" ht="78.75" customHeight="1">
      <c r="A205" s="238"/>
      <c r="B205" s="606" t="s">
        <v>1285</v>
      </c>
      <c r="C205" s="607" t="s">
        <v>1286</v>
      </c>
      <c r="D205" s="254"/>
      <c r="E205" s="254"/>
      <c r="F205" s="608" t="s">
        <v>1287</v>
      </c>
      <c r="G205" s="197">
        <f t="shared" si="83"/>
        <v>5000</v>
      </c>
      <c r="H205" s="197"/>
      <c r="I205" s="197"/>
      <c r="J205" s="609">
        <v>5000</v>
      </c>
      <c r="K205" s="197"/>
      <c r="L205" s="197">
        <f t="shared" si="84"/>
        <v>4700</v>
      </c>
      <c r="M205" s="197"/>
      <c r="N205" s="197"/>
      <c r="O205" s="609">
        <v>4700</v>
      </c>
      <c r="P205" s="197"/>
      <c r="Q205" s="181">
        <f t="shared" si="85"/>
        <v>212</v>
      </c>
      <c r="R205" s="609"/>
      <c r="S205" s="197"/>
      <c r="T205" s="609">
        <v>212</v>
      </c>
      <c r="U205" s="197"/>
      <c r="V205" s="197"/>
      <c r="W205" s="197"/>
      <c r="X205" s="621" t="s">
        <v>929</v>
      </c>
      <c r="Y205" s="232"/>
      <c r="Z205" s="232"/>
      <c r="AA205" s="596"/>
      <c r="AB205" s="596"/>
      <c r="AC205" s="596"/>
    </row>
    <row r="206" spans="1:29" s="281" customFormat="1" ht="78.75" customHeight="1">
      <c r="A206" s="238"/>
      <c r="B206" s="606" t="s">
        <v>1288</v>
      </c>
      <c r="C206" s="607" t="s">
        <v>819</v>
      </c>
      <c r="D206" s="254"/>
      <c r="E206" s="254"/>
      <c r="F206" s="608" t="s">
        <v>1289</v>
      </c>
      <c r="G206" s="197">
        <f t="shared" si="83"/>
        <v>731</v>
      </c>
      <c r="H206" s="197"/>
      <c r="I206" s="197"/>
      <c r="J206" s="609">
        <v>731</v>
      </c>
      <c r="K206" s="197"/>
      <c r="L206" s="197">
        <f t="shared" si="84"/>
        <v>500</v>
      </c>
      <c r="M206" s="197"/>
      <c r="N206" s="197"/>
      <c r="O206" s="609">
        <v>500</v>
      </c>
      <c r="P206" s="197"/>
      <c r="Q206" s="181">
        <f t="shared" si="85"/>
        <v>231</v>
      </c>
      <c r="R206" s="609"/>
      <c r="S206" s="197"/>
      <c r="T206" s="609">
        <v>231</v>
      </c>
      <c r="U206" s="197"/>
      <c r="V206" s="197"/>
      <c r="W206" s="197"/>
      <c r="X206" s="621" t="s">
        <v>929</v>
      </c>
      <c r="Y206" s="232"/>
      <c r="Z206" s="232"/>
      <c r="AA206" s="596"/>
      <c r="AB206" s="596"/>
      <c r="AC206" s="596"/>
    </row>
    <row r="207" spans="1:29" s="281" customFormat="1" ht="147.75" customHeight="1">
      <c r="A207" s="238"/>
      <c r="B207" s="606" t="s">
        <v>1290</v>
      </c>
      <c r="C207" s="607" t="s">
        <v>1291</v>
      </c>
      <c r="D207" s="254"/>
      <c r="E207" s="254"/>
      <c r="F207" s="608" t="s">
        <v>1292</v>
      </c>
      <c r="G207" s="197">
        <f t="shared" si="83"/>
        <v>4728</v>
      </c>
      <c r="H207" s="197"/>
      <c r="I207" s="197"/>
      <c r="J207" s="609">
        <v>4728</v>
      </c>
      <c r="K207" s="197"/>
      <c r="L207" s="197">
        <f t="shared" si="84"/>
        <v>4400</v>
      </c>
      <c r="M207" s="197"/>
      <c r="N207" s="197"/>
      <c r="O207" s="609">
        <v>4400</v>
      </c>
      <c r="P207" s="197"/>
      <c r="Q207" s="181">
        <f t="shared" si="85"/>
        <v>328</v>
      </c>
      <c r="R207" s="197"/>
      <c r="S207" s="197"/>
      <c r="T207" s="609">
        <v>328</v>
      </c>
      <c r="U207" s="197"/>
      <c r="V207" s="197"/>
      <c r="W207" s="197"/>
      <c r="X207" s="621" t="s">
        <v>929</v>
      </c>
      <c r="Y207" s="232"/>
      <c r="Z207" s="232"/>
      <c r="AA207" s="596"/>
      <c r="AB207" s="596"/>
      <c r="AC207" s="596"/>
    </row>
    <row r="208" spans="1:29" s="281" customFormat="1" ht="137.25" customHeight="1">
      <c r="A208" s="238"/>
      <c r="B208" s="606" t="s">
        <v>1293</v>
      </c>
      <c r="C208" s="607" t="s">
        <v>1291</v>
      </c>
      <c r="D208" s="254"/>
      <c r="E208" s="254"/>
      <c r="F208" s="608" t="s">
        <v>1294</v>
      </c>
      <c r="G208" s="197">
        <f t="shared" si="83"/>
        <v>14000</v>
      </c>
      <c r="H208" s="197"/>
      <c r="I208" s="197"/>
      <c r="J208" s="609">
        <v>14000</v>
      </c>
      <c r="K208" s="197"/>
      <c r="L208" s="197">
        <f t="shared" si="84"/>
        <v>11700</v>
      </c>
      <c r="M208" s="197"/>
      <c r="N208" s="197"/>
      <c r="O208" s="609">
        <v>11700</v>
      </c>
      <c r="P208" s="197"/>
      <c r="Q208" s="181">
        <f t="shared" si="85"/>
        <v>600</v>
      </c>
      <c r="R208" s="609">
        <v>600</v>
      </c>
      <c r="S208" s="197"/>
      <c r="T208" s="609"/>
      <c r="U208" s="197"/>
      <c r="V208" s="197"/>
      <c r="W208" s="197"/>
      <c r="X208" s="621" t="s">
        <v>929</v>
      </c>
      <c r="Y208" s="232"/>
      <c r="Z208" s="232"/>
      <c r="AA208" s="596"/>
      <c r="AB208" s="596"/>
      <c r="AC208" s="596"/>
    </row>
    <row r="209" spans="1:29" s="281" customFormat="1" ht="98.25" customHeight="1">
      <c r="A209" s="238"/>
      <c r="B209" s="606" t="s">
        <v>1295</v>
      </c>
      <c r="C209" s="607" t="s">
        <v>1029</v>
      </c>
      <c r="D209" s="254"/>
      <c r="E209" s="254"/>
      <c r="F209" s="608" t="s">
        <v>1296</v>
      </c>
      <c r="G209" s="197">
        <f t="shared" si="83"/>
        <v>7885</v>
      </c>
      <c r="H209" s="197"/>
      <c r="I209" s="197"/>
      <c r="J209" s="609">
        <f>9500-1552-63</f>
        <v>7885</v>
      </c>
      <c r="K209" s="197"/>
      <c r="L209" s="197">
        <f t="shared" si="84"/>
        <v>5455</v>
      </c>
      <c r="M209" s="197"/>
      <c r="N209" s="197"/>
      <c r="O209" s="609">
        <v>5455</v>
      </c>
      <c r="P209" s="197"/>
      <c r="Q209" s="181">
        <f t="shared" si="85"/>
        <v>1600</v>
      </c>
      <c r="R209" s="609">
        <v>1600</v>
      </c>
      <c r="S209" s="197"/>
      <c r="T209" s="609"/>
      <c r="U209" s="197"/>
      <c r="V209" s="197"/>
      <c r="W209" s="197"/>
      <c r="X209" s="621" t="s">
        <v>929</v>
      </c>
      <c r="Y209" s="232"/>
      <c r="Z209" s="232"/>
      <c r="AA209" s="596"/>
      <c r="AB209" s="596"/>
      <c r="AC209" s="596"/>
    </row>
    <row r="210" spans="1:29" s="281" customFormat="1" ht="78" customHeight="1">
      <c r="A210" s="238"/>
      <c r="B210" s="606" t="s">
        <v>1297</v>
      </c>
      <c r="C210" s="607" t="s">
        <v>1026</v>
      </c>
      <c r="D210" s="254"/>
      <c r="E210" s="254"/>
      <c r="F210" s="608" t="s">
        <v>1298</v>
      </c>
      <c r="G210" s="197">
        <f t="shared" si="83"/>
        <v>20000</v>
      </c>
      <c r="H210" s="197"/>
      <c r="I210" s="197"/>
      <c r="J210" s="609">
        <v>20000</v>
      </c>
      <c r="K210" s="197"/>
      <c r="L210" s="197">
        <f t="shared" si="84"/>
        <v>17000</v>
      </c>
      <c r="M210" s="197"/>
      <c r="N210" s="197"/>
      <c r="O210" s="609">
        <v>17000</v>
      </c>
      <c r="P210" s="197"/>
      <c r="Q210" s="181">
        <f t="shared" si="85"/>
        <v>1000</v>
      </c>
      <c r="R210" s="609">
        <v>1000</v>
      </c>
      <c r="S210" s="197"/>
      <c r="T210" s="609"/>
      <c r="U210" s="197"/>
      <c r="V210" s="197"/>
      <c r="W210" s="197"/>
      <c r="X210" s="621" t="s">
        <v>929</v>
      </c>
      <c r="Y210" s="232"/>
      <c r="Z210" s="232"/>
      <c r="AA210" s="596"/>
      <c r="AB210" s="596"/>
      <c r="AC210" s="596"/>
    </row>
    <row r="211" spans="1:29" s="281" customFormat="1" ht="82.5" customHeight="1">
      <c r="A211" s="238"/>
      <c r="B211" s="606" t="s">
        <v>1299</v>
      </c>
      <c r="C211" s="607" t="s">
        <v>1029</v>
      </c>
      <c r="D211" s="254"/>
      <c r="E211" s="254"/>
      <c r="F211" s="608" t="s">
        <v>1300</v>
      </c>
      <c r="G211" s="197">
        <f t="shared" si="83"/>
        <v>14950</v>
      </c>
      <c r="H211" s="197"/>
      <c r="I211" s="197"/>
      <c r="J211" s="609">
        <v>14950</v>
      </c>
      <c r="K211" s="197"/>
      <c r="L211" s="197">
        <f t="shared" si="84"/>
        <v>10500</v>
      </c>
      <c r="M211" s="197"/>
      <c r="N211" s="197"/>
      <c r="O211" s="609">
        <v>10500</v>
      </c>
      <c r="P211" s="197"/>
      <c r="Q211" s="181">
        <f t="shared" si="85"/>
        <v>3000</v>
      </c>
      <c r="R211" s="609">
        <v>3000</v>
      </c>
      <c r="S211" s="197"/>
      <c r="T211" s="609"/>
      <c r="U211" s="197"/>
      <c r="V211" s="197"/>
      <c r="W211" s="197"/>
      <c r="X211" s="621" t="s">
        <v>929</v>
      </c>
      <c r="Y211" s="232"/>
      <c r="Z211" s="232"/>
      <c r="AA211" s="596"/>
      <c r="AB211" s="596"/>
      <c r="AC211" s="596"/>
    </row>
    <row r="212" spans="1:29" s="281" customFormat="1" ht="54.75" customHeight="1">
      <c r="A212" s="238"/>
      <c r="B212" s="606" t="s">
        <v>1301</v>
      </c>
      <c r="C212" s="607" t="s">
        <v>819</v>
      </c>
      <c r="D212" s="254"/>
      <c r="E212" s="254"/>
      <c r="F212" s="608" t="s">
        <v>1302</v>
      </c>
      <c r="G212" s="197">
        <f t="shared" si="83"/>
        <v>11000</v>
      </c>
      <c r="H212" s="197"/>
      <c r="I212" s="197"/>
      <c r="J212" s="609">
        <v>11000</v>
      </c>
      <c r="K212" s="197"/>
      <c r="L212" s="197">
        <f t="shared" si="84"/>
        <v>9350</v>
      </c>
      <c r="M212" s="197"/>
      <c r="N212" s="197"/>
      <c r="O212" s="609">
        <v>9350</v>
      </c>
      <c r="P212" s="197"/>
      <c r="Q212" s="181">
        <f t="shared" si="85"/>
        <v>500</v>
      </c>
      <c r="R212" s="609">
        <v>500</v>
      </c>
      <c r="S212" s="197"/>
      <c r="T212" s="609"/>
      <c r="U212" s="197"/>
      <c r="V212" s="197"/>
      <c r="W212" s="197"/>
      <c r="X212" s="621" t="s">
        <v>929</v>
      </c>
      <c r="Y212" s="232"/>
      <c r="Z212" s="232"/>
      <c r="AA212" s="596"/>
      <c r="AB212" s="596"/>
      <c r="AC212" s="596"/>
    </row>
    <row r="213" spans="1:29" s="281" customFormat="1" ht="132" customHeight="1">
      <c r="A213" s="238"/>
      <c r="B213" s="606" t="s">
        <v>1303</v>
      </c>
      <c r="C213" s="607" t="s">
        <v>819</v>
      </c>
      <c r="D213" s="254"/>
      <c r="E213" s="254"/>
      <c r="F213" s="608" t="s">
        <v>1304</v>
      </c>
      <c r="G213" s="197">
        <f t="shared" si="83"/>
        <v>14600</v>
      </c>
      <c r="H213" s="197"/>
      <c r="I213" s="197"/>
      <c r="J213" s="609">
        <v>14600</v>
      </c>
      <c r="K213" s="197"/>
      <c r="L213" s="197">
        <f t="shared" si="84"/>
        <v>12235</v>
      </c>
      <c r="M213" s="197"/>
      <c r="N213" s="197"/>
      <c r="O213" s="609">
        <v>12235</v>
      </c>
      <c r="P213" s="197"/>
      <c r="Q213" s="181">
        <f t="shared" si="85"/>
        <v>900</v>
      </c>
      <c r="R213" s="609">
        <v>900</v>
      </c>
      <c r="S213" s="197"/>
      <c r="T213" s="609"/>
      <c r="U213" s="197"/>
      <c r="V213" s="197"/>
      <c r="W213" s="197"/>
      <c r="X213" s="621" t="s">
        <v>929</v>
      </c>
      <c r="Y213" s="232"/>
      <c r="Z213" s="232"/>
      <c r="AA213" s="596"/>
      <c r="AB213" s="596"/>
      <c r="AC213" s="596"/>
    </row>
    <row r="214" spans="1:29" s="281" customFormat="1" ht="119.25" customHeight="1">
      <c r="A214" s="238"/>
      <c r="B214" s="606" t="s">
        <v>1305</v>
      </c>
      <c r="C214" s="607" t="s">
        <v>1026</v>
      </c>
      <c r="D214" s="254"/>
      <c r="E214" s="254"/>
      <c r="F214" s="608" t="s">
        <v>1306</v>
      </c>
      <c r="G214" s="197">
        <f t="shared" si="83"/>
        <v>16000</v>
      </c>
      <c r="H214" s="197"/>
      <c r="I214" s="197"/>
      <c r="J214" s="609">
        <v>16000</v>
      </c>
      <c r="K214" s="197"/>
      <c r="L214" s="197">
        <f t="shared" si="84"/>
        <v>12000</v>
      </c>
      <c r="M214" s="197"/>
      <c r="N214" s="197"/>
      <c r="O214" s="609">
        <v>12000</v>
      </c>
      <c r="P214" s="197"/>
      <c r="Q214" s="181">
        <f t="shared" si="85"/>
        <v>2400</v>
      </c>
      <c r="R214" s="609">
        <v>2400</v>
      </c>
      <c r="S214" s="197"/>
      <c r="T214" s="609"/>
      <c r="U214" s="197"/>
      <c r="V214" s="197"/>
      <c r="W214" s="197"/>
      <c r="X214" s="621" t="s">
        <v>929</v>
      </c>
      <c r="Y214" s="232"/>
      <c r="Z214" s="232"/>
      <c r="AA214" s="596"/>
      <c r="AB214" s="596"/>
      <c r="AC214" s="596"/>
    </row>
    <row r="215" spans="1:29" s="281" customFormat="1" ht="132" customHeight="1">
      <c r="A215" s="238"/>
      <c r="B215" s="606" t="s">
        <v>1307</v>
      </c>
      <c r="C215" s="607" t="s">
        <v>819</v>
      </c>
      <c r="D215" s="254"/>
      <c r="E215" s="254"/>
      <c r="F215" s="608" t="s">
        <v>1308</v>
      </c>
      <c r="G215" s="197">
        <f t="shared" si="83"/>
        <v>5529</v>
      </c>
      <c r="H215" s="197"/>
      <c r="I215" s="197"/>
      <c r="J215" s="609">
        <v>5529</v>
      </c>
      <c r="K215" s="197"/>
      <c r="L215" s="197">
        <f t="shared" si="84"/>
        <v>4500</v>
      </c>
      <c r="M215" s="197"/>
      <c r="N215" s="197"/>
      <c r="O215" s="609">
        <v>4500</v>
      </c>
      <c r="P215" s="197"/>
      <c r="Q215" s="181">
        <f t="shared" si="85"/>
        <v>500</v>
      </c>
      <c r="R215" s="609"/>
      <c r="S215" s="197"/>
      <c r="T215" s="609">
        <v>500</v>
      </c>
      <c r="U215" s="197"/>
      <c r="V215" s="197"/>
      <c r="W215" s="197"/>
      <c r="X215" s="621" t="s">
        <v>929</v>
      </c>
      <c r="Y215" s="232"/>
      <c r="Z215" s="232"/>
      <c r="AA215" s="596"/>
      <c r="AB215" s="596"/>
      <c r="AC215" s="596"/>
    </row>
    <row r="216" spans="1:29" s="281" customFormat="1" ht="81.75" customHeight="1">
      <c r="A216" s="238"/>
      <c r="B216" s="606" t="s">
        <v>1309</v>
      </c>
      <c r="C216" s="607" t="s">
        <v>1029</v>
      </c>
      <c r="D216" s="254"/>
      <c r="E216" s="254"/>
      <c r="F216" s="608" t="s">
        <v>1310</v>
      </c>
      <c r="G216" s="197">
        <f t="shared" si="83"/>
        <v>6675</v>
      </c>
      <c r="H216" s="197"/>
      <c r="I216" s="197"/>
      <c r="J216" s="609">
        <v>6675</v>
      </c>
      <c r="K216" s="197"/>
      <c r="L216" s="197">
        <f t="shared" si="84"/>
        <v>5523</v>
      </c>
      <c r="M216" s="197"/>
      <c r="N216" s="197"/>
      <c r="O216" s="609">
        <v>5523</v>
      </c>
      <c r="P216" s="197"/>
      <c r="Q216" s="181">
        <f t="shared" ref="Q216:Q226" si="87">SUM(R216:W216)</f>
        <v>500</v>
      </c>
      <c r="R216" s="197"/>
      <c r="S216" s="197"/>
      <c r="T216" s="609">
        <v>500</v>
      </c>
      <c r="U216" s="197"/>
      <c r="V216" s="197"/>
      <c r="W216" s="197"/>
      <c r="X216" s="621" t="s">
        <v>929</v>
      </c>
      <c r="Y216" s="232"/>
      <c r="Z216" s="232"/>
      <c r="AA216" s="596"/>
      <c r="AB216" s="596"/>
      <c r="AC216" s="596"/>
    </row>
    <row r="217" spans="1:29" s="281" customFormat="1" ht="132" customHeight="1">
      <c r="A217" s="238"/>
      <c r="B217" s="606" t="s">
        <v>1311</v>
      </c>
      <c r="C217" s="607" t="s">
        <v>1029</v>
      </c>
      <c r="D217" s="254"/>
      <c r="E217" s="254"/>
      <c r="F217" s="608" t="s">
        <v>1312</v>
      </c>
      <c r="G217" s="197">
        <f t="shared" si="83"/>
        <v>454555</v>
      </c>
      <c r="H217" s="197"/>
      <c r="I217" s="197"/>
      <c r="J217" s="609">
        <v>454555</v>
      </c>
      <c r="K217" s="197"/>
      <c r="L217" s="197">
        <f t="shared" si="84"/>
        <v>429349</v>
      </c>
      <c r="M217" s="197"/>
      <c r="N217" s="197"/>
      <c r="O217" s="609">
        <v>429349</v>
      </c>
      <c r="P217" s="197"/>
      <c r="Q217" s="181">
        <f t="shared" si="87"/>
        <v>5000</v>
      </c>
      <c r="R217" s="197"/>
      <c r="S217" s="197"/>
      <c r="T217" s="609">
        <v>5000</v>
      </c>
      <c r="U217" s="197"/>
      <c r="V217" s="197"/>
      <c r="W217" s="197"/>
      <c r="X217" s="621" t="s">
        <v>929</v>
      </c>
      <c r="Y217" s="232"/>
      <c r="Z217" s="232"/>
      <c r="AA217" s="596"/>
      <c r="AB217" s="596"/>
      <c r="AC217" s="596"/>
    </row>
    <row r="218" spans="1:29" s="281" customFormat="1" ht="69" customHeight="1">
      <c r="A218" s="238"/>
      <c r="B218" s="606" t="s">
        <v>1313</v>
      </c>
      <c r="C218" s="607" t="s">
        <v>1026</v>
      </c>
      <c r="D218" s="254"/>
      <c r="E218" s="254"/>
      <c r="F218" s="608" t="s">
        <v>1314</v>
      </c>
      <c r="G218" s="197">
        <f t="shared" si="83"/>
        <v>47439</v>
      </c>
      <c r="H218" s="197"/>
      <c r="I218" s="197"/>
      <c r="J218" s="609">
        <v>47439</v>
      </c>
      <c r="K218" s="197"/>
      <c r="L218" s="197">
        <f t="shared" si="84"/>
        <v>37561</v>
      </c>
      <c r="M218" s="197"/>
      <c r="N218" s="197"/>
      <c r="O218" s="609">
        <v>37561</v>
      </c>
      <c r="P218" s="197"/>
      <c r="Q218" s="181">
        <f t="shared" si="87"/>
        <v>3000</v>
      </c>
      <c r="R218" s="197"/>
      <c r="S218" s="197"/>
      <c r="T218" s="609">
        <v>3000</v>
      </c>
      <c r="U218" s="197"/>
      <c r="V218" s="197"/>
      <c r="W218" s="197"/>
      <c r="X218" s="621" t="s">
        <v>929</v>
      </c>
      <c r="Y218" s="232"/>
      <c r="Z218" s="232"/>
      <c r="AA218" s="596"/>
      <c r="AB218" s="596"/>
      <c r="AC218" s="596"/>
    </row>
    <row r="219" spans="1:29" s="281" customFormat="1" ht="69" customHeight="1">
      <c r="A219" s="238"/>
      <c r="B219" s="606" t="s">
        <v>1315</v>
      </c>
      <c r="C219" s="607" t="s">
        <v>1316</v>
      </c>
      <c r="D219" s="254"/>
      <c r="E219" s="254"/>
      <c r="F219" s="608" t="s">
        <v>1317</v>
      </c>
      <c r="G219" s="197">
        <f t="shared" si="83"/>
        <v>20608</v>
      </c>
      <c r="H219" s="197"/>
      <c r="I219" s="197"/>
      <c r="J219" s="609">
        <v>20608</v>
      </c>
      <c r="K219" s="197"/>
      <c r="L219" s="197">
        <f t="shared" si="84"/>
        <v>20685</v>
      </c>
      <c r="M219" s="197"/>
      <c r="N219" s="197"/>
      <c r="O219" s="609">
        <v>20685</v>
      </c>
      <c r="P219" s="197"/>
      <c r="Q219" s="181">
        <f t="shared" si="87"/>
        <v>2200</v>
      </c>
      <c r="R219" s="197"/>
      <c r="S219" s="197"/>
      <c r="T219" s="609">
        <v>2200</v>
      </c>
      <c r="U219" s="197"/>
      <c r="V219" s="197"/>
      <c r="W219" s="197"/>
      <c r="X219" s="621" t="s">
        <v>929</v>
      </c>
      <c r="Y219" s="232"/>
      <c r="Z219" s="232"/>
      <c r="AA219" s="596"/>
      <c r="AB219" s="596"/>
      <c r="AC219" s="596"/>
    </row>
    <row r="220" spans="1:29" s="281" customFormat="1" ht="132" customHeight="1">
      <c r="A220" s="238"/>
      <c r="B220" s="606" t="s">
        <v>1318</v>
      </c>
      <c r="C220" s="607" t="s">
        <v>1029</v>
      </c>
      <c r="D220" s="254"/>
      <c r="E220" s="254"/>
      <c r="F220" s="608" t="s">
        <v>1319</v>
      </c>
      <c r="G220" s="197">
        <f t="shared" si="83"/>
        <v>555000</v>
      </c>
      <c r="H220" s="197"/>
      <c r="I220" s="197"/>
      <c r="J220" s="609">
        <v>555000</v>
      </c>
      <c r="K220" s="197"/>
      <c r="L220" s="197">
        <f t="shared" si="84"/>
        <v>505929</v>
      </c>
      <c r="M220" s="197"/>
      <c r="N220" s="197"/>
      <c r="O220" s="609">
        <v>505929</v>
      </c>
      <c r="P220" s="197"/>
      <c r="Q220" s="181">
        <f t="shared" si="87"/>
        <v>15000</v>
      </c>
      <c r="R220" s="197"/>
      <c r="S220" s="197"/>
      <c r="T220" s="609">
        <v>15000</v>
      </c>
      <c r="U220" s="197"/>
      <c r="V220" s="197"/>
      <c r="W220" s="197"/>
      <c r="X220" s="621" t="s">
        <v>929</v>
      </c>
      <c r="Y220" s="232"/>
      <c r="Z220" s="232"/>
      <c r="AA220" s="596"/>
      <c r="AB220" s="596"/>
      <c r="AC220" s="596"/>
    </row>
    <row r="221" spans="1:29" s="281" customFormat="1" ht="73.5" customHeight="1">
      <c r="A221" s="238"/>
      <c r="B221" s="606" t="s">
        <v>1320</v>
      </c>
      <c r="C221" s="607" t="s">
        <v>819</v>
      </c>
      <c r="D221" s="254"/>
      <c r="E221" s="254"/>
      <c r="F221" s="608" t="s">
        <v>1321</v>
      </c>
      <c r="G221" s="197">
        <f t="shared" si="83"/>
        <v>9000</v>
      </c>
      <c r="H221" s="197"/>
      <c r="I221" s="197"/>
      <c r="J221" s="609">
        <v>9000</v>
      </c>
      <c r="K221" s="197"/>
      <c r="L221" s="197">
        <f t="shared" si="84"/>
        <v>7123</v>
      </c>
      <c r="M221" s="197"/>
      <c r="N221" s="197"/>
      <c r="O221" s="609">
        <v>7123</v>
      </c>
      <c r="P221" s="197"/>
      <c r="Q221" s="181">
        <f t="shared" si="87"/>
        <v>1000</v>
      </c>
      <c r="R221" s="197"/>
      <c r="S221" s="197"/>
      <c r="T221" s="609">
        <v>1000</v>
      </c>
      <c r="U221" s="197"/>
      <c r="V221" s="197"/>
      <c r="W221" s="197"/>
      <c r="X221" s="621" t="s">
        <v>929</v>
      </c>
      <c r="Y221" s="232"/>
      <c r="Z221" s="232"/>
      <c r="AA221" s="596"/>
      <c r="AB221" s="596"/>
      <c r="AC221" s="596"/>
    </row>
    <row r="222" spans="1:29" s="281" customFormat="1" ht="117" customHeight="1">
      <c r="A222" s="238"/>
      <c r="B222" s="606" t="s">
        <v>1322</v>
      </c>
      <c r="C222" s="607" t="s">
        <v>1235</v>
      </c>
      <c r="D222" s="254"/>
      <c r="E222" s="254"/>
      <c r="F222" s="608" t="s">
        <v>1323</v>
      </c>
      <c r="G222" s="197">
        <f t="shared" si="83"/>
        <v>5282</v>
      </c>
      <c r="H222" s="197"/>
      <c r="I222" s="197"/>
      <c r="J222" s="609">
        <v>5282</v>
      </c>
      <c r="K222" s="197"/>
      <c r="L222" s="197">
        <f t="shared" si="84"/>
        <v>17718</v>
      </c>
      <c r="M222" s="197"/>
      <c r="N222" s="197"/>
      <c r="O222" s="609">
        <v>17718</v>
      </c>
      <c r="P222" s="197"/>
      <c r="Q222" s="181">
        <f t="shared" si="87"/>
        <v>3000</v>
      </c>
      <c r="R222" s="197"/>
      <c r="S222" s="197"/>
      <c r="T222" s="609">
        <v>3000</v>
      </c>
      <c r="U222" s="197"/>
      <c r="V222" s="197"/>
      <c r="W222" s="197"/>
      <c r="X222" s="621" t="s">
        <v>929</v>
      </c>
      <c r="Y222" s="232"/>
      <c r="Z222" s="232"/>
      <c r="AA222" s="596"/>
      <c r="AB222" s="596"/>
      <c r="AC222" s="596"/>
    </row>
    <row r="223" spans="1:29" s="281" customFormat="1" ht="77.25" customHeight="1">
      <c r="A223" s="238"/>
      <c r="B223" s="606" t="s">
        <v>1324</v>
      </c>
      <c r="C223" s="607" t="s">
        <v>1023</v>
      </c>
      <c r="D223" s="254"/>
      <c r="E223" s="254"/>
      <c r="F223" s="608" t="s">
        <v>1325</v>
      </c>
      <c r="G223" s="197">
        <f t="shared" si="83"/>
        <v>7061</v>
      </c>
      <c r="H223" s="197"/>
      <c r="I223" s="197"/>
      <c r="J223" s="609">
        <v>7061</v>
      </c>
      <c r="K223" s="197"/>
      <c r="L223" s="197">
        <f t="shared" si="84"/>
        <v>6681</v>
      </c>
      <c r="M223" s="197"/>
      <c r="N223" s="197"/>
      <c r="O223" s="609">
        <v>6681</v>
      </c>
      <c r="P223" s="197"/>
      <c r="Q223" s="181">
        <f t="shared" si="87"/>
        <v>500</v>
      </c>
      <c r="R223" s="197"/>
      <c r="S223" s="197"/>
      <c r="T223" s="609">
        <v>500</v>
      </c>
      <c r="U223" s="197"/>
      <c r="V223" s="197"/>
      <c r="W223" s="197"/>
      <c r="X223" s="621" t="s">
        <v>929</v>
      </c>
      <c r="Y223" s="232"/>
      <c r="Z223" s="232"/>
      <c r="AA223" s="596"/>
      <c r="AB223" s="596"/>
      <c r="AC223" s="596"/>
    </row>
    <row r="224" spans="1:29" s="281" customFormat="1" ht="69" customHeight="1">
      <c r="A224" s="238"/>
      <c r="B224" s="606" t="s">
        <v>1326</v>
      </c>
      <c r="C224" s="607" t="s">
        <v>1327</v>
      </c>
      <c r="D224" s="254"/>
      <c r="E224" s="254"/>
      <c r="F224" s="608" t="s">
        <v>1328</v>
      </c>
      <c r="G224" s="197">
        <f t="shared" si="83"/>
        <v>13086</v>
      </c>
      <c r="H224" s="197"/>
      <c r="I224" s="197"/>
      <c r="J224" s="609">
        <v>13086</v>
      </c>
      <c r="K224" s="197"/>
      <c r="L224" s="197">
        <f t="shared" si="84"/>
        <v>5500</v>
      </c>
      <c r="M224" s="197"/>
      <c r="N224" s="197"/>
      <c r="O224" s="609">
        <v>5500</v>
      </c>
      <c r="P224" s="197"/>
      <c r="Q224" s="181">
        <f t="shared" si="87"/>
        <v>5000</v>
      </c>
      <c r="R224" s="197"/>
      <c r="S224" s="197"/>
      <c r="T224" s="609">
        <v>5000</v>
      </c>
      <c r="U224" s="197"/>
      <c r="V224" s="197"/>
      <c r="W224" s="197"/>
      <c r="X224" s="621" t="s">
        <v>929</v>
      </c>
      <c r="Y224" s="232"/>
      <c r="Z224" s="232"/>
      <c r="AA224" s="596"/>
      <c r="AB224" s="596"/>
      <c r="AC224" s="596"/>
    </row>
    <row r="225" spans="1:29" s="281" customFormat="1" ht="69" customHeight="1">
      <c r="A225" s="238"/>
      <c r="B225" s="631" t="s">
        <v>1329</v>
      </c>
      <c r="C225" s="632" t="s">
        <v>1026</v>
      </c>
      <c r="D225" s="254"/>
      <c r="E225" s="254"/>
      <c r="F225" s="632" t="s">
        <v>1330</v>
      </c>
      <c r="G225" s="197">
        <f t="shared" si="83"/>
        <v>31000</v>
      </c>
      <c r="H225" s="197"/>
      <c r="I225" s="197"/>
      <c r="J225" s="633">
        <v>31000</v>
      </c>
      <c r="K225" s="197"/>
      <c r="L225" s="197">
        <f t="shared" si="84"/>
        <v>21000</v>
      </c>
      <c r="M225" s="197"/>
      <c r="N225" s="197"/>
      <c r="O225" s="633">
        <v>21000</v>
      </c>
      <c r="P225" s="197"/>
      <c r="Q225" s="181">
        <f t="shared" si="87"/>
        <v>7000</v>
      </c>
      <c r="R225" s="197"/>
      <c r="S225" s="197"/>
      <c r="T225" s="609">
        <v>7000</v>
      </c>
      <c r="U225" s="197"/>
      <c r="V225" s="197"/>
      <c r="W225" s="197"/>
      <c r="X225" s="621" t="s">
        <v>929</v>
      </c>
      <c r="Y225" s="232"/>
      <c r="Z225" s="232"/>
      <c r="AA225" s="596"/>
      <c r="AB225" s="596"/>
      <c r="AC225" s="596"/>
    </row>
    <row r="226" spans="1:29" s="281" customFormat="1" ht="69" customHeight="1">
      <c r="A226" s="238"/>
      <c r="B226" s="606" t="s">
        <v>1331</v>
      </c>
      <c r="C226" s="607" t="s">
        <v>1332</v>
      </c>
      <c r="D226" s="254"/>
      <c r="E226" s="254"/>
      <c r="F226" s="608" t="s">
        <v>1333</v>
      </c>
      <c r="G226" s="197">
        <f t="shared" si="83"/>
        <v>30000</v>
      </c>
      <c r="H226" s="197"/>
      <c r="I226" s="197"/>
      <c r="J226" s="609">
        <v>30000</v>
      </c>
      <c r="K226" s="197"/>
      <c r="L226" s="197">
        <f t="shared" si="84"/>
        <v>11500</v>
      </c>
      <c r="M226" s="197"/>
      <c r="N226" s="197"/>
      <c r="O226" s="609">
        <v>11500</v>
      </c>
      <c r="P226" s="197"/>
      <c r="Q226" s="181">
        <f t="shared" si="87"/>
        <v>13000</v>
      </c>
      <c r="R226" s="197"/>
      <c r="S226" s="197"/>
      <c r="T226" s="609">
        <v>13000</v>
      </c>
      <c r="U226" s="197"/>
      <c r="V226" s="197"/>
      <c r="W226" s="197"/>
      <c r="X226" s="621" t="s">
        <v>929</v>
      </c>
      <c r="Y226" s="232"/>
      <c r="Z226" s="232"/>
      <c r="AA226" s="596"/>
      <c r="AB226" s="596"/>
      <c r="AC226" s="596"/>
    </row>
    <row r="227" spans="1:29" s="328" customFormat="1" ht="28.15" customHeight="1">
      <c r="A227" s="557" t="s">
        <v>358</v>
      </c>
      <c r="B227" s="612" t="s">
        <v>930</v>
      </c>
      <c r="C227" s="321">
        <v>0</v>
      </c>
      <c r="D227" s="321"/>
      <c r="E227" s="321"/>
      <c r="F227" s="321">
        <v>0</v>
      </c>
      <c r="G227" s="295">
        <f>SUM(G228:G239)</f>
        <v>855939.02799999993</v>
      </c>
      <c r="H227" s="295">
        <f t="shared" ref="H227:W227" si="88">SUM(H228:H239)</f>
        <v>0</v>
      </c>
      <c r="I227" s="295">
        <f t="shared" si="88"/>
        <v>0</v>
      </c>
      <c r="J227" s="295">
        <f t="shared" si="88"/>
        <v>855939.02799999993</v>
      </c>
      <c r="K227" s="295">
        <f t="shared" si="88"/>
        <v>0</v>
      </c>
      <c r="L227" s="295">
        <f t="shared" si="88"/>
        <v>425477</v>
      </c>
      <c r="M227" s="295">
        <f t="shared" si="88"/>
        <v>0</v>
      </c>
      <c r="N227" s="295">
        <f t="shared" si="88"/>
        <v>0</v>
      </c>
      <c r="O227" s="295">
        <f t="shared" si="88"/>
        <v>425477</v>
      </c>
      <c r="P227" s="295">
        <f t="shared" si="88"/>
        <v>0</v>
      </c>
      <c r="Q227" s="295">
        <f t="shared" si="88"/>
        <v>166485</v>
      </c>
      <c r="R227" s="295">
        <f t="shared" si="88"/>
        <v>53280</v>
      </c>
      <c r="S227" s="295">
        <f t="shared" si="88"/>
        <v>0</v>
      </c>
      <c r="T227" s="295">
        <f>SUM(T228:T239)</f>
        <v>113205</v>
      </c>
      <c r="U227" s="295">
        <f t="shared" si="88"/>
        <v>0</v>
      </c>
      <c r="V227" s="295">
        <f t="shared" si="88"/>
        <v>0</v>
      </c>
      <c r="W227" s="295">
        <f t="shared" si="88"/>
        <v>0</v>
      </c>
      <c r="X227" s="294">
        <v>0</v>
      </c>
      <c r="Y227" s="289">
        <f t="shared" si="3"/>
        <v>425477</v>
      </c>
      <c r="Z227" s="289">
        <f t="shared" si="47"/>
        <v>0</v>
      </c>
      <c r="AA227" s="600"/>
      <c r="AB227" s="600"/>
      <c r="AC227" s="600"/>
    </row>
    <row r="228" spans="1:29" s="298" customFormat="1" ht="37.5">
      <c r="A228" s="254"/>
      <c r="B228" s="606" t="s">
        <v>1334</v>
      </c>
      <c r="C228" s="607" t="s">
        <v>812</v>
      </c>
      <c r="D228" s="321"/>
      <c r="E228" s="321"/>
      <c r="F228" s="608" t="s">
        <v>1335</v>
      </c>
      <c r="G228" s="197">
        <f t="shared" si="83"/>
        <v>4635</v>
      </c>
      <c r="H228" s="259"/>
      <c r="I228" s="253"/>
      <c r="J228" s="609">
        <v>4635</v>
      </c>
      <c r="K228" s="253"/>
      <c r="L228" s="197">
        <f t="shared" si="84"/>
        <v>3800</v>
      </c>
      <c r="M228" s="197"/>
      <c r="N228" s="253"/>
      <c r="O228" s="609">
        <v>3800</v>
      </c>
      <c r="P228" s="253"/>
      <c r="Q228" s="181">
        <f>SUM(R228:W228)</f>
        <v>835</v>
      </c>
      <c r="R228" s="197"/>
      <c r="S228" s="197"/>
      <c r="T228" s="609">
        <v>835</v>
      </c>
      <c r="U228" s="253"/>
      <c r="V228" s="253"/>
      <c r="W228" s="253"/>
      <c r="X228" s="608" t="s">
        <v>930</v>
      </c>
      <c r="Y228" s="232"/>
      <c r="Z228" s="232"/>
      <c r="AA228" s="597"/>
      <c r="AB228" s="597"/>
      <c r="AC228" s="597"/>
    </row>
    <row r="229" spans="1:29" s="298" customFormat="1" ht="56.25">
      <c r="A229" s="254"/>
      <c r="B229" s="634" t="s">
        <v>1336</v>
      </c>
      <c r="C229" s="647" t="s">
        <v>1046</v>
      </c>
      <c r="D229" s="321"/>
      <c r="E229" s="321"/>
      <c r="F229" s="648" t="s">
        <v>1337</v>
      </c>
      <c r="G229" s="197">
        <f t="shared" si="83"/>
        <v>21000</v>
      </c>
      <c r="H229" s="259"/>
      <c r="I229" s="253"/>
      <c r="J229" s="649">
        <v>21000</v>
      </c>
      <c r="K229" s="253"/>
      <c r="L229" s="197">
        <f t="shared" si="84"/>
        <v>11500</v>
      </c>
      <c r="M229" s="197"/>
      <c r="N229" s="253"/>
      <c r="O229" s="649">
        <v>11500</v>
      </c>
      <c r="P229" s="253"/>
      <c r="Q229" s="181">
        <f>SUM(R229:W229)</f>
        <v>5000</v>
      </c>
      <c r="R229" s="197"/>
      <c r="S229" s="197"/>
      <c r="T229" s="649">
        <v>5000</v>
      </c>
      <c r="U229" s="253"/>
      <c r="V229" s="253"/>
      <c r="W229" s="253"/>
      <c r="X229" s="608" t="s">
        <v>930</v>
      </c>
      <c r="Y229" s="232"/>
      <c r="Z229" s="232"/>
      <c r="AA229" s="597"/>
      <c r="AB229" s="597"/>
      <c r="AC229" s="597"/>
    </row>
    <row r="230" spans="1:29" s="298" customFormat="1" ht="66.75" customHeight="1">
      <c r="A230" s="254"/>
      <c r="B230" s="606" t="s">
        <v>1338</v>
      </c>
      <c r="C230" s="607" t="s">
        <v>1038</v>
      </c>
      <c r="D230" s="321"/>
      <c r="E230" s="321"/>
      <c r="F230" s="608" t="s">
        <v>1339</v>
      </c>
      <c r="G230" s="197">
        <f t="shared" si="83"/>
        <v>14950</v>
      </c>
      <c r="H230" s="259"/>
      <c r="I230" s="253"/>
      <c r="J230" s="609">
        <v>14950</v>
      </c>
      <c r="K230" s="253"/>
      <c r="L230" s="197">
        <f t="shared" si="84"/>
        <v>5040</v>
      </c>
      <c r="M230" s="197"/>
      <c r="N230" s="253"/>
      <c r="O230" s="609">
        <v>5040</v>
      </c>
      <c r="P230" s="253"/>
      <c r="Q230" s="181">
        <f t="shared" ref="Q230:Q239" si="89">SUM(R230:W230)</f>
        <v>8400</v>
      </c>
      <c r="R230" s="609">
        <v>8400</v>
      </c>
      <c r="S230" s="197"/>
      <c r="T230" s="609"/>
      <c r="U230" s="253"/>
      <c r="V230" s="253"/>
      <c r="W230" s="253"/>
      <c r="X230" s="608" t="s">
        <v>930</v>
      </c>
      <c r="Y230" s="232"/>
      <c r="Z230" s="232"/>
      <c r="AA230" s="597"/>
      <c r="AB230" s="597"/>
      <c r="AC230" s="597"/>
    </row>
    <row r="231" spans="1:29" s="298" customFormat="1" ht="66.75" customHeight="1">
      <c r="A231" s="254"/>
      <c r="B231" s="606" t="s">
        <v>1340</v>
      </c>
      <c r="C231" s="607" t="s">
        <v>812</v>
      </c>
      <c r="D231" s="321"/>
      <c r="E231" s="321"/>
      <c r="F231" s="608" t="s">
        <v>1341</v>
      </c>
      <c r="G231" s="197">
        <f t="shared" ref="G231:G239" si="90">SUM(H231:K231)</f>
        <v>12000</v>
      </c>
      <c r="H231" s="259"/>
      <c r="I231" s="253"/>
      <c r="J231" s="609">
        <v>12000</v>
      </c>
      <c r="K231" s="253"/>
      <c r="L231" s="197">
        <f t="shared" ref="L231:L239" si="91">SUM(M231:P231)</f>
        <v>4208</v>
      </c>
      <c r="M231" s="197"/>
      <c r="N231" s="253"/>
      <c r="O231" s="609">
        <v>4208</v>
      </c>
      <c r="P231" s="253"/>
      <c r="Q231" s="181">
        <f t="shared" si="89"/>
        <v>6500</v>
      </c>
      <c r="R231" s="609">
        <v>6500</v>
      </c>
      <c r="S231" s="197"/>
      <c r="T231" s="609"/>
      <c r="U231" s="253"/>
      <c r="V231" s="253"/>
      <c r="W231" s="253"/>
      <c r="X231" s="608" t="s">
        <v>930</v>
      </c>
      <c r="Y231" s="232"/>
      <c r="Z231" s="232"/>
      <c r="AA231" s="597"/>
      <c r="AB231" s="597"/>
      <c r="AC231" s="597"/>
    </row>
    <row r="232" spans="1:29" s="298" customFormat="1" ht="66.75" customHeight="1">
      <c r="A232" s="254"/>
      <c r="B232" s="606" t="s">
        <v>1342</v>
      </c>
      <c r="C232" s="607" t="s">
        <v>1041</v>
      </c>
      <c r="D232" s="321"/>
      <c r="E232" s="321"/>
      <c r="F232" s="608" t="s">
        <v>1343</v>
      </c>
      <c r="G232" s="197">
        <f t="shared" si="90"/>
        <v>13329.028</v>
      </c>
      <c r="H232" s="259"/>
      <c r="I232" s="253"/>
      <c r="J232" s="609">
        <v>13329.028</v>
      </c>
      <c r="K232" s="253"/>
      <c r="L232" s="197">
        <f t="shared" si="91"/>
        <v>11523</v>
      </c>
      <c r="M232" s="197"/>
      <c r="N232" s="253"/>
      <c r="O232" s="609">
        <v>11523</v>
      </c>
      <c r="P232" s="253"/>
      <c r="Q232" s="181">
        <f t="shared" si="89"/>
        <v>500</v>
      </c>
      <c r="R232" s="609">
        <v>500</v>
      </c>
      <c r="S232" s="197"/>
      <c r="T232" s="609"/>
      <c r="U232" s="253"/>
      <c r="V232" s="253"/>
      <c r="W232" s="253"/>
      <c r="X232" s="608" t="s">
        <v>930</v>
      </c>
      <c r="Y232" s="232"/>
      <c r="Z232" s="232"/>
      <c r="AA232" s="597"/>
      <c r="AB232" s="597"/>
      <c r="AC232" s="597"/>
    </row>
    <row r="233" spans="1:29" s="298" customFormat="1" ht="84.75" customHeight="1">
      <c r="A233" s="254"/>
      <c r="B233" s="606" t="s">
        <v>1344</v>
      </c>
      <c r="C233" s="607" t="s">
        <v>812</v>
      </c>
      <c r="D233" s="321"/>
      <c r="E233" s="321"/>
      <c r="F233" s="608" t="s">
        <v>1345</v>
      </c>
      <c r="G233" s="197">
        <f t="shared" si="90"/>
        <v>22000</v>
      </c>
      <c r="H233" s="259"/>
      <c r="I233" s="253"/>
      <c r="J233" s="609">
        <v>22000</v>
      </c>
      <c r="K233" s="253"/>
      <c r="L233" s="197">
        <f t="shared" si="91"/>
        <v>11700</v>
      </c>
      <c r="M233" s="197"/>
      <c r="N233" s="253"/>
      <c r="O233" s="609">
        <v>11700</v>
      </c>
      <c r="P233" s="253"/>
      <c r="Q233" s="181">
        <f t="shared" si="89"/>
        <v>3500</v>
      </c>
      <c r="R233" s="609">
        <v>3500</v>
      </c>
      <c r="S233" s="197"/>
      <c r="T233" s="609"/>
      <c r="U233" s="253"/>
      <c r="V233" s="253"/>
      <c r="W233" s="253"/>
      <c r="X233" s="608" t="s">
        <v>930</v>
      </c>
      <c r="Y233" s="232"/>
      <c r="Z233" s="232"/>
      <c r="AA233" s="597"/>
      <c r="AB233" s="597"/>
      <c r="AC233" s="597"/>
    </row>
    <row r="234" spans="1:29" s="298" customFormat="1" ht="64.5" customHeight="1">
      <c r="A234" s="254"/>
      <c r="B234" s="606" t="s">
        <v>1346</v>
      </c>
      <c r="C234" s="607" t="s">
        <v>1038</v>
      </c>
      <c r="D234" s="321"/>
      <c r="E234" s="321"/>
      <c r="F234" s="608" t="s">
        <v>1347</v>
      </c>
      <c r="G234" s="197">
        <f t="shared" si="90"/>
        <v>15900</v>
      </c>
      <c r="H234" s="259"/>
      <c r="I234" s="253"/>
      <c r="J234" s="609">
        <v>15900</v>
      </c>
      <c r="K234" s="253"/>
      <c r="L234" s="197">
        <f t="shared" si="91"/>
        <v>9250</v>
      </c>
      <c r="M234" s="197"/>
      <c r="N234" s="253"/>
      <c r="O234" s="609">
        <v>9250</v>
      </c>
      <c r="P234" s="253"/>
      <c r="Q234" s="181">
        <f t="shared" si="89"/>
        <v>4250</v>
      </c>
      <c r="R234" s="609">
        <v>4250</v>
      </c>
      <c r="S234" s="197"/>
      <c r="T234" s="609"/>
      <c r="U234" s="253"/>
      <c r="V234" s="253"/>
      <c r="W234" s="253"/>
      <c r="X234" s="608" t="s">
        <v>930</v>
      </c>
      <c r="Y234" s="232"/>
      <c r="Z234" s="232"/>
      <c r="AA234" s="597"/>
      <c r="AB234" s="597"/>
      <c r="AC234" s="597"/>
    </row>
    <row r="235" spans="1:29" s="298" customFormat="1" ht="66.75" customHeight="1">
      <c r="A235" s="254"/>
      <c r="B235" s="606" t="s">
        <v>1348</v>
      </c>
      <c r="C235" s="607" t="s">
        <v>1349</v>
      </c>
      <c r="D235" s="321"/>
      <c r="E235" s="321"/>
      <c r="F235" s="608" t="s">
        <v>1350</v>
      </c>
      <c r="G235" s="197">
        <f t="shared" si="90"/>
        <v>20200</v>
      </c>
      <c r="H235" s="259"/>
      <c r="I235" s="253"/>
      <c r="J235" s="609">
        <v>20200</v>
      </c>
      <c r="K235" s="253"/>
      <c r="L235" s="197">
        <f t="shared" si="91"/>
        <v>14300</v>
      </c>
      <c r="M235" s="197"/>
      <c r="N235" s="253"/>
      <c r="O235" s="609">
        <v>14300</v>
      </c>
      <c r="P235" s="253"/>
      <c r="Q235" s="181">
        <f t="shared" si="89"/>
        <v>3500</v>
      </c>
      <c r="R235" s="609">
        <v>3500</v>
      </c>
      <c r="S235" s="197"/>
      <c r="T235" s="609"/>
      <c r="U235" s="253"/>
      <c r="V235" s="253"/>
      <c r="W235" s="253"/>
      <c r="X235" s="608" t="s">
        <v>930</v>
      </c>
      <c r="Y235" s="232"/>
      <c r="Z235" s="232"/>
      <c r="AA235" s="597"/>
      <c r="AB235" s="597"/>
      <c r="AC235" s="597"/>
    </row>
    <row r="236" spans="1:29" s="298" customFormat="1" ht="66.75" customHeight="1">
      <c r="A236" s="254"/>
      <c r="B236" s="606" t="s">
        <v>1351</v>
      </c>
      <c r="C236" s="607" t="s">
        <v>1352</v>
      </c>
      <c r="D236" s="321"/>
      <c r="E236" s="321"/>
      <c r="F236" s="608" t="s">
        <v>1353</v>
      </c>
      <c r="G236" s="197">
        <f t="shared" si="90"/>
        <v>30325</v>
      </c>
      <c r="H236" s="259"/>
      <c r="I236" s="253"/>
      <c r="J236" s="609">
        <v>30325</v>
      </c>
      <c r="K236" s="253"/>
      <c r="L236" s="197">
        <f t="shared" si="91"/>
        <v>14202</v>
      </c>
      <c r="M236" s="197"/>
      <c r="N236" s="253"/>
      <c r="O236" s="609">
        <v>14202</v>
      </c>
      <c r="P236" s="253"/>
      <c r="Q236" s="181">
        <f t="shared" si="89"/>
        <v>14000</v>
      </c>
      <c r="R236" s="609">
        <v>8000</v>
      </c>
      <c r="S236" s="197"/>
      <c r="T236" s="609">
        <v>6000</v>
      </c>
      <c r="U236" s="253"/>
      <c r="V236" s="253"/>
      <c r="W236" s="253"/>
      <c r="X236" s="608" t="s">
        <v>930</v>
      </c>
      <c r="Y236" s="232"/>
      <c r="Z236" s="232"/>
      <c r="AA236" s="597"/>
      <c r="AB236" s="597"/>
      <c r="AC236" s="597"/>
    </row>
    <row r="237" spans="1:29" s="298" customFormat="1" ht="66.75" customHeight="1">
      <c r="A237" s="254"/>
      <c r="B237" s="606" t="s">
        <v>1354</v>
      </c>
      <c r="C237" s="607" t="s">
        <v>1046</v>
      </c>
      <c r="D237" s="321"/>
      <c r="E237" s="321"/>
      <c r="F237" s="608" t="s">
        <v>1355</v>
      </c>
      <c r="G237" s="197">
        <f t="shared" si="90"/>
        <v>51600</v>
      </c>
      <c r="H237" s="259"/>
      <c r="I237" s="253"/>
      <c r="J237" s="609">
        <v>51600</v>
      </c>
      <c r="K237" s="253"/>
      <c r="L237" s="197">
        <f t="shared" si="91"/>
        <v>11340</v>
      </c>
      <c r="M237" s="197"/>
      <c r="N237" s="253"/>
      <c r="O237" s="609">
        <v>11340</v>
      </c>
      <c r="P237" s="253"/>
      <c r="Q237" s="181">
        <f t="shared" si="89"/>
        <v>20000</v>
      </c>
      <c r="R237" s="609">
        <v>18630</v>
      </c>
      <c r="S237" s="197"/>
      <c r="T237" s="609">
        <v>1370</v>
      </c>
      <c r="U237" s="253"/>
      <c r="V237" s="253"/>
      <c r="W237" s="253"/>
      <c r="X237" s="608" t="s">
        <v>930</v>
      </c>
      <c r="Y237" s="232"/>
      <c r="Z237" s="232"/>
      <c r="AA237" s="597"/>
      <c r="AB237" s="597"/>
      <c r="AC237" s="597"/>
    </row>
    <row r="238" spans="1:29" s="298" customFormat="1" ht="66.75" customHeight="1">
      <c r="A238" s="254"/>
      <c r="B238" s="606" t="s">
        <v>1356</v>
      </c>
      <c r="C238" s="607" t="s">
        <v>1046</v>
      </c>
      <c r="D238" s="321"/>
      <c r="E238" s="321"/>
      <c r="F238" s="608" t="s">
        <v>1357</v>
      </c>
      <c r="G238" s="197">
        <f t="shared" si="90"/>
        <v>100000</v>
      </c>
      <c r="H238" s="259"/>
      <c r="I238" s="253"/>
      <c r="J238" s="609">
        <v>100000</v>
      </c>
      <c r="K238" s="253"/>
      <c r="L238" s="197">
        <f t="shared" si="91"/>
        <v>15586</v>
      </c>
      <c r="M238" s="197"/>
      <c r="N238" s="253"/>
      <c r="O238" s="609">
        <v>15586</v>
      </c>
      <c r="P238" s="253"/>
      <c r="Q238" s="181">
        <f t="shared" si="89"/>
        <v>50000</v>
      </c>
      <c r="R238" s="609"/>
      <c r="S238" s="197"/>
      <c r="T238" s="609">
        <v>50000</v>
      </c>
      <c r="U238" s="253"/>
      <c r="V238" s="253"/>
      <c r="W238" s="253"/>
      <c r="X238" s="608" t="s">
        <v>930</v>
      </c>
      <c r="Y238" s="232"/>
      <c r="Z238" s="232"/>
      <c r="AA238" s="597"/>
      <c r="AB238" s="597"/>
      <c r="AC238" s="597"/>
    </row>
    <row r="239" spans="1:29" s="298" customFormat="1" ht="66.75" customHeight="1">
      <c r="A239" s="254"/>
      <c r="B239" s="606" t="s">
        <v>1358</v>
      </c>
      <c r="C239" s="607" t="s">
        <v>1046</v>
      </c>
      <c r="D239" s="321"/>
      <c r="E239" s="321"/>
      <c r="F239" s="608" t="s">
        <v>1359</v>
      </c>
      <c r="G239" s="197">
        <f t="shared" si="90"/>
        <v>550000</v>
      </c>
      <c r="H239" s="259"/>
      <c r="I239" s="253"/>
      <c r="J239" s="609">
        <v>550000</v>
      </c>
      <c r="K239" s="253"/>
      <c r="L239" s="197">
        <f t="shared" si="91"/>
        <v>313028</v>
      </c>
      <c r="M239" s="197"/>
      <c r="N239" s="253"/>
      <c r="O239" s="609">
        <v>313028</v>
      </c>
      <c r="P239" s="253"/>
      <c r="Q239" s="181">
        <f t="shared" si="89"/>
        <v>50000</v>
      </c>
      <c r="R239" s="609"/>
      <c r="S239" s="197"/>
      <c r="T239" s="609">
        <v>50000</v>
      </c>
      <c r="U239" s="253"/>
      <c r="V239" s="253"/>
      <c r="W239" s="253"/>
      <c r="X239" s="608" t="s">
        <v>930</v>
      </c>
      <c r="Y239" s="232"/>
      <c r="Z239" s="232"/>
      <c r="AA239" s="597"/>
      <c r="AB239" s="597"/>
      <c r="AC239" s="597"/>
    </row>
    <row r="240" spans="1:29" s="298" customFormat="1" ht="42" customHeight="1">
      <c r="A240" s="557" t="s">
        <v>413</v>
      </c>
      <c r="B240" s="612" t="s">
        <v>932</v>
      </c>
      <c r="C240" s="611"/>
      <c r="D240" s="321"/>
      <c r="E240" s="321"/>
      <c r="F240" s="615"/>
      <c r="G240" s="295">
        <f>SUM(G241:G252)</f>
        <v>500965</v>
      </c>
      <c r="H240" s="295">
        <f t="shared" ref="H240:W240" si="92">SUM(H241:H252)</f>
        <v>0</v>
      </c>
      <c r="I240" s="295">
        <f t="shared" si="92"/>
        <v>0</v>
      </c>
      <c r="J240" s="295">
        <f t="shared" si="92"/>
        <v>500965</v>
      </c>
      <c r="K240" s="295">
        <f t="shared" si="92"/>
        <v>0</v>
      </c>
      <c r="L240" s="295">
        <f t="shared" si="92"/>
        <v>302086</v>
      </c>
      <c r="M240" s="295">
        <f t="shared" si="92"/>
        <v>0</v>
      </c>
      <c r="N240" s="295">
        <f t="shared" si="92"/>
        <v>0</v>
      </c>
      <c r="O240" s="295">
        <f t="shared" si="92"/>
        <v>302086</v>
      </c>
      <c r="P240" s="295">
        <f t="shared" si="92"/>
        <v>0</v>
      </c>
      <c r="Q240" s="295">
        <f t="shared" si="92"/>
        <v>79587</v>
      </c>
      <c r="R240" s="295">
        <f t="shared" si="92"/>
        <v>14000</v>
      </c>
      <c r="S240" s="295">
        <f t="shared" si="92"/>
        <v>0</v>
      </c>
      <c r="T240" s="295">
        <f t="shared" si="92"/>
        <v>65587</v>
      </c>
      <c r="U240" s="295">
        <f t="shared" si="92"/>
        <v>0</v>
      </c>
      <c r="V240" s="295">
        <f t="shared" si="92"/>
        <v>0</v>
      </c>
      <c r="W240" s="295">
        <f t="shared" si="92"/>
        <v>0</v>
      </c>
      <c r="X240" s="294"/>
      <c r="Y240" s="297"/>
      <c r="Z240" s="297"/>
      <c r="AA240" s="597"/>
      <c r="AB240" s="597"/>
      <c r="AC240" s="597"/>
    </row>
    <row r="241" spans="1:29" s="298" customFormat="1" ht="75">
      <c r="A241" s="254"/>
      <c r="B241" s="606" t="s">
        <v>1360</v>
      </c>
      <c r="C241" s="607" t="s">
        <v>1361</v>
      </c>
      <c r="D241" s="321"/>
      <c r="E241" s="321"/>
      <c r="F241" s="608" t="s">
        <v>1362</v>
      </c>
      <c r="G241" s="197">
        <f>SUM(H241:K241)</f>
        <v>2862</v>
      </c>
      <c r="H241" s="259"/>
      <c r="I241" s="253"/>
      <c r="J241" s="609">
        <v>2862</v>
      </c>
      <c r="K241" s="253"/>
      <c r="L241" s="197">
        <f>SUM(M241:P241)</f>
        <v>2700</v>
      </c>
      <c r="M241" s="197"/>
      <c r="N241" s="253"/>
      <c r="O241" s="609">
        <v>2700</v>
      </c>
      <c r="P241" s="253"/>
      <c r="Q241" s="181">
        <f>SUM(R241:W241)</f>
        <v>162</v>
      </c>
      <c r="R241" s="197"/>
      <c r="S241" s="197"/>
      <c r="T241" s="609">
        <v>162</v>
      </c>
      <c r="U241" s="253"/>
      <c r="V241" s="253"/>
      <c r="W241" s="253"/>
      <c r="X241" s="621" t="s">
        <v>932</v>
      </c>
      <c r="Y241" s="232"/>
      <c r="Z241" s="232"/>
      <c r="AA241" s="597"/>
      <c r="AB241" s="597"/>
      <c r="AC241" s="597"/>
    </row>
    <row r="242" spans="1:29" s="328" customFormat="1" ht="45.75" customHeight="1">
      <c r="A242" s="249"/>
      <c r="B242" s="606" t="s">
        <v>1363</v>
      </c>
      <c r="C242" s="607" t="s">
        <v>1079</v>
      </c>
      <c r="D242" s="251"/>
      <c r="E242" s="251"/>
      <c r="F242" s="608" t="s">
        <v>1364</v>
      </c>
      <c r="G242" s="197">
        <f>SUM(H242:K242)</f>
        <v>3940</v>
      </c>
      <c r="H242" s="253">
        <f t="shared" ref="H242:W242" si="93">H243</f>
        <v>0</v>
      </c>
      <c r="I242" s="253"/>
      <c r="J242" s="609">
        <v>3940</v>
      </c>
      <c r="K242" s="253">
        <f t="shared" si="93"/>
        <v>0</v>
      </c>
      <c r="L242" s="197">
        <f t="shared" ref="L242:L243" si="94">SUM(M242:P242)</f>
        <v>3000</v>
      </c>
      <c r="M242" s="253">
        <f>M243</f>
        <v>0</v>
      </c>
      <c r="N242" s="253">
        <f t="shared" si="93"/>
        <v>0</v>
      </c>
      <c r="O242" s="609">
        <v>3000</v>
      </c>
      <c r="P242" s="253">
        <f t="shared" si="93"/>
        <v>0</v>
      </c>
      <c r="Q242" s="181">
        <f t="shared" ref="Q242:Q263" si="95">SUM(R242:W242)</f>
        <v>940</v>
      </c>
      <c r="R242" s="253"/>
      <c r="S242" s="253">
        <f t="shared" si="93"/>
        <v>0</v>
      </c>
      <c r="T242" s="609">
        <v>940</v>
      </c>
      <c r="U242" s="253">
        <f t="shared" si="93"/>
        <v>0</v>
      </c>
      <c r="V242" s="253">
        <f t="shared" si="93"/>
        <v>0</v>
      </c>
      <c r="W242" s="253">
        <f t="shared" si="93"/>
        <v>0</v>
      </c>
      <c r="X242" s="621" t="s">
        <v>932</v>
      </c>
      <c r="Y242" s="277"/>
      <c r="Z242" s="277"/>
      <c r="AA242" s="600"/>
      <c r="AB242" s="600"/>
      <c r="AC242" s="600"/>
    </row>
    <row r="243" spans="1:29" s="298" customFormat="1" ht="104.25" customHeight="1">
      <c r="A243" s="254"/>
      <c r="B243" s="606" t="s">
        <v>1365</v>
      </c>
      <c r="C243" s="607" t="s">
        <v>1079</v>
      </c>
      <c r="D243" s="238"/>
      <c r="E243" s="238"/>
      <c r="F243" s="608" t="s">
        <v>1366</v>
      </c>
      <c r="G243" s="197">
        <f>SUM(H243:K243)</f>
        <v>3657</v>
      </c>
      <c r="H243" s="197"/>
      <c r="I243" s="197"/>
      <c r="J243" s="609">
        <v>3657</v>
      </c>
      <c r="K243" s="197"/>
      <c r="L243" s="197">
        <f t="shared" si="94"/>
        <v>2700</v>
      </c>
      <c r="M243" s="197"/>
      <c r="N243" s="197"/>
      <c r="O243" s="609">
        <v>2700</v>
      </c>
      <c r="P243" s="197"/>
      <c r="Q243" s="181">
        <f t="shared" si="95"/>
        <v>957</v>
      </c>
      <c r="R243" s="197"/>
      <c r="S243" s="197"/>
      <c r="T243" s="609">
        <v>957</v>
      </c>
      <c r="U243" s="197"/>
      <c r="V243" s="197"/>
      <c r="W243" s="197"/>
      <c r="X243" s="621" t="s">
        <v>932</v>
      </c>
      <c r="Y243" s="232"/>
      <c r="Z243" s="232"/>
      <c r="AA243" s="597"/>
      <c r="AB243" s="597"/>
      <c r="AC243" s="597"/>
    </row>
    <row r="244" spans="1:29" s="281" customFormat="1" ht="56.25" customHeight="1">
      <c r="A244" s="249"/>
      <c r="B244" s="606" t="s">
        <v>1367</v>
      </c>
      <c r="C244" s="607" t="s">
        <v>1368</v>
      </c>
      <c r="D244" s="254"/>
      <c r="E244" s="254"/>
      <c r="F244" s="608" t="s">
        <v>1369</v>
      </c>
      <c r="G244" s="197">
        <f>SUM(H244:K244)</f>
        <v>224</v>
      </c>
      <c r="H244" s="253"/>
      <c r="I244" s="253">
        <f t="shared" ref="I244:W244" si="96">I245</f>
        <v>0</v>
      </c>
      <c r="J244" s="609">
        <v>224</v>
      </c>
      <c r="K244" s="253">
        <f t="shared" si="96"/>
        <v>0</v>
      </c>
      <c r="L244" s="609">
        <v>3560</v>
      </c>
      <c r="M244" s="253"/>
      <c r="N244" s="253">
        <f t="shared" si="96"/>
        <v>0</v>
      </c>
      <c r="O244" s="609">
        <v>3560</v>
      </c>
      <c r="P244" s="253">
        <f t="shared" si="96"/>
        <v>0</v>
      </c>
      <c r="Q244" s="181">
        <f t="shared" si="95"/>
        <v>224</v>
      </c>
      <c r="R244" s="253"/>
      <c r="S244" s="253">
        <f t="shared" si="96"/>
        <v>0</v>
      </c>
      <c r="T244" s="609">
        <v>224</v>
      </c>
      <c r="U244" s="253">
        <f t="shared" si="96"/>
        <v>0</v>
      </c>
      <c r="V244" s="253"/>
      <c r="W244" s="253">
        <f t="shared" si="96"/>
        <v>0</v>
      </c>
      <c r="X244" s="621" t="s">
        <v>932</v>
      </c>
      <c r="Y244" s="232"/>
      <c r="Z244" s="232"/>
      <c r="AA244" s="596"/>
      <c r="AB244" s="596"/>
      <c r="AC244" s="596"/>
    </row>
    <row r="245" spans="1:29" s="661" customFormat="1" ht="81.75" customHeight="1">
      <c r="A245" s="361"/>
      <c r="B245" s="618" t="s">
        <v>1370</v>
      </c>
      <c r="C245" s="619" t="s">
        <v>834</v>
      </c>
      <c r="D245" s="254"/>
      <c r="E245" s="254"/>
      <c r="F245" s="256" t="s">
        <v>1371</v>
      </c>
      <c r="G245" s="197">
        <f t="shared" ref="G245:G263" si="97">SUM(H245:K245)</f>
        <v>304</v>
      </c>
      <c r="H245" s="197"/>
      <c r="I245" s="197"/>
      <c r="J245" s="620">
        <v>304</v>
      </c>
      <c r="K245" s="197"/>
      <c r="L245" s="620">
        <v>23019</v>
      </c>
      <c r="M245" s="197"/>
      <c r="N245" s="197"/>
      <c r="O245" s="620">
        <v>23019</v>
      </c>
      <c r="P245" s="197"/>
      <c r="Q245" s="181">
        <f t="shared" si="95"/>
        <v>304</v>
      </c>
      <c r="R245" s="197"/>
      <c r="S245" s="197"/>
      <c r="T245" s="620">
        <v>304</v>
      </c>
      <c r="U245" s="197"/>
      <c r="V245" s="197"/>
      <c r="W245" s="197"/>
      <c r="X245" s="660" t="s">
        <v>932</v>
      </c>
      <c r="Y245" s="622"/>
      <c r="Z245" s="622"/>
      <c r="AA245" s="596"/>
      <c r="AB245" s="596"/>
      <c r="AC245" s="596"/>
    </row>
    <row r="246" spans="1:29" s="281" customFormat="1" ht="81.75" customHeight="1">
      <c r="A246" s="238"/>
      <c r="B246" s="606" t="s">
        <v>1372</v>
      </c>
      <c r="C246" s="607" t="s">
        <v>1373</v>
      </c>
      <c r="D246" s="254"/>
      <c r="E246" s="254"/>
      <c r="F246" s="608" t="s">
        <v>1374</v>
      </c>
      <c r="G246" s="197">
        <f t="shared" si="97"/>
        <v>12800</v>
      </c>
      <c r="H246" s="197"/>
      <c r="I246" s="197"/>
      <c r="J246" s="609">
        <v>12800</v>
      </c>
      <c r="K246" s="197"/>
      <c r="L246" s="609">
        <f>SUM(M246:P246)</f>
        <v>5140</v>
      </c>
      <c r="M246" s="197"/>
      <c r="N246" s="197"/>
      <c r="O246" s="609">
        <v>5140</v>
      </c>
      <c r="P246" s="197"/>
      <c r="Q246" s="181">
        <f t="shared" si="95"/>
        <v>6000</v>
      </c>
      <c r="R246" s="609">
        <v>6000</v>
      </c>
      <c r="S246" s="197"/>
      <c r="T246" s="609"/>
      <c r="U246" s="197"/>
      <c r="V246" s="197"/>
      <c r="W246" s="197"/>
      <c r="X246" s="621" t="s">
        <v>932</v>
      </c>
      <c r="Y246" s="232"/>
      <c r="Z246" s="232"/>
      <c r="AA246" s="596"/>
      <c r="AB246" s="596"/>
      <c r="AC246" s="596"/>
    </row>
    <row r="247" spans="1:29" s="281" customFormat="1" ht="81.75" customHeight="1">
      <c r="A247" s="238"/>
      <c r="B247" s="606" t="s">
        <v>1375</v>
      </c>
      <c r="C247" s="607" t="s">
        <v>832</v>
      </c>
      <c r="D247" s="254"/>
      <c r="E247" s="254"/>
      <c r="F247" s="608" t="s">
        <v>1376</v>
      </c>
      <c r="G247" s="197">
        <f t="shared" si="97"/>
        <v>30196</v>
      </c>
      <c r="H247" s="197"/>
      <c r="I247" s="197"/>
      <c r="J247" s="609">
        <v>30196</v>
      </c>
      <c r="K247" s="197"/>
      <c r="L247" s="609">
        <f t="shared" ref="L247:L263" si="98">SUM(M247:P247)</f>
        <v>24734</v>
      </c>
      <c r="M247" s="197"/>
      <c r="N247" s="197"/>
      <c r="O247" s="609">
        <v>24734</v>
      </c>
      <c r="P247" s="197"/>
      <c r="Q247" s="181">
        <f t="shared" si="95"/>
        <v>2500</v>
      </c>
      <c r="R247" s="609">
        <v>2500</v>
      </c>
      <c r="S247" s="197"/>
      <c r="T247" s="609"/>
      <c r="U247" s="197"/>
      <c r="V247" s="197"/>
      <c r="W247" s="197"/>
      <c r="X247" s="621" t="s">
        <v>932</v>
      </c>
      <c r="Y247" s="232"/>
      <c r="Z247" s="232"/>
      <c r="AA247" s="596"/>
      <c r="AB247" s="596"/>
      <c r="AC247" s="596"/>
    </row>
    <row r="248" spans="1:29" s="281" customFormat="1" ht="69" customHeight="1">
      <c r="A248" s="238"/>
      <c r="B248" s="606" t="s">
        <v>1377</v>
      </c>
      <c r="C248" s="607" t="s">
        <v>832</v>
      </c>
      <c r="D248" s="254"/>
      <c r="E248" s="254"/>
      <c r="F248" s="608" t="s">
        <v>1378</v>
      </c>
      <c r="G248" s="197">
        <f t="shared" si="97"/>
        <v>15782</v>
      </c>
      <c r="H248" s="197"/>
      <c r="I248" s="197"/>
      <c r="J248" s="609">
        <v>15782</v>
      </c>
      <c r="K248" s="197"/>
      <c r="L248" s="609">
        <f t="shared" si="98"/>
        <v>12803</v>
      </c>
      <c r="M248" s="197"/>
      <c r="N248" s="197"/>
      <c r="O248" s="609">
        <v>12803</v>
      </c>
      <c r="P248" s="197"/>
      <c r="Q248" s="181">
        <f t="shared" si="95"/>
        <v>1500</v>
      </c>
      <c r="R248" s="609">
        <v>1500</v>
      </c>
      <c r="S248" s="197"/>
      <c r="T248" s="609"/>
      <c r="U248" s="197"/>
      <c r="V248" s="197"/>
      <c r="W248" s="197"/>
      <c r="X248" s="621" t="s">
        <v>932</v>
      </c>
      <c r="Y248" s="232"/>
      <c r="Z248" s="232"/>
      <c r="AA248" s="596"/>
      <c r="AB248" s="596"/>
      <c r="AC248" s="596"/>
    </row>
    <row r="249" spans="1:29" s="281" customFormat="1" ht="81.75" customHeight="1">
      <c r="A249" s="238"/>
      <c r="B249" s="606" t="s">
        <v>1379</v>
      </c>
      <c r="C249" s="607" t="s">
        <v>1079</v>
      </c>
      <c r="D249" s="254"/>
      <c r="E249" s="254"/>
      <c r="F249" s="608" t="s">
        <v>1380</v>
      </c>
      <c r="G249" s="197">
        <f t="shared" si="97"/>
        <v>24500</v>
      </c>
      <c r="H249" s="197"/>
      <c r="I249" s="197"/>
      <c r="J249" s="609">
        <v>24500</v>
      </c>
      <c r="K249" s="197"/>
      <c r="L249" s="609">
        <f t="shared" si="98"/>
        <v>18000</v>
      </c>
      <c r="M249" s="197"/>
      <c r="N249" s="197"/>
      <c r="O249" s="609">
        <v>18000</v>
      </c>
      <c r="P249" s="197"/>
      <c r="Q249" s="181">
        <f t="shared" si="95"/>
        <v>4000</v>
      </c>
      <c r="R249" s="609">
        <v>4000</v>
      </c>
      <c r="S249" s="197"/>
      <c r="T249" s="609"/>
      <c r="U249" s="197"/>
      <c r="V249" s="197"/>
      <c r="W249" s="197"/>
      <c r="X249" s="621" t="s">
        <v>932</v>
      </c>
      <c r="Y249" s="232"/>
      <c r="Z249" s="232"/>
      <c r="AA249" s="596"/>
      <c r="AB249" s="596"/>
      <c r="AC249" s="596"/>
    </row>
    <row r="250" spans="1:29" s="281" customFormat="1" ht="81.75" customHeight="1">
      <c r="A250" s="238"/>
      <c r="B250" s="662" t="s">
        <v>1381</v>
      </c>
      <c r="C250" s="607" t="s">
        <v>1361</v>
      </c>
      <c r="D250" s="663" t="s">
        <v>1382</v>
      </c>
      <c r="E250" s="664" t="s">
        <v>1383</v>
      </c>
      <c r="F250" s="664" t="s">
        <v>1383</v>
      </c>
      <c r="G250" s="197">
        <f t="shared" si="97"/>
        <v>13000</v>
      </c>
      <c r="H250" s="197"/>
      <c r="I250" s="197"/>
      <c r="J250" s="609">
        <v>13000</v>
      </c>
      <c r="K250" s="197"/>
      <c r="L250" s="609">
        <f t="shared" si="98"/>
        <v>10695</v>
      </c>
      <c r="M250" s="197"/>
      <c r="N250" s="197"/>
      <c r="O250" s="609">
        <v>10695</v>
      </c>
      <c r="P250" s="197"/>
      <c r="Q250" s="181">
        <f t="shared" si="95"/>
        <v>1000</v>
      </c>
      <c r="R250" s="609"/>
      <c r="S250" s="197"/>
      <c r="T250" s="609">
        <v>1000</v>
      </c>
      <c r="U250" s="197"/>
      <c r="V250" s="197"/>
      <c r="W250" s="197"/>
      <c r="X250" s="621" t="s">
        <v>932</v>
      </c>
      <c r="Y250" s="232"/>
      <c r="Z250" s="232"/>
      <c r="AA250" s="596"/>
      <c r="AB250" s="596"/>
      <c r="AC250" s="596"/>
    </row>
    <row r="251" spans="1:29" s="281" customFormat="1" ht="81.75" customHeight="1">
      <c r="A251" s="238"/>
      <c r="B251" s="662" t="s">
        <v>1384</v>
      </c>
      <c r="C251" s="607" t="s">
        <v>832</v>
      </c>
      <c r="D251" s="663" t="s">
        <v>1382</v>
      </c>
      <c r="E251" s="664" t="s">
        <v>1385</v>
      </c>
      <c r="F251" s="664" t="s">
        <v>1385</v>
      </c>
      <c r="G251" s="197">
        <f t="shared" si="97"/>
        <v>17700</v>
      </c>
      <c r="H251" s="197"/>
      <c r="I251" s="197"/>
      <c r="J251" s="609">
        <v>17700</v>
      </c>
      <c r="K251" s="197"/>
      <c r="L251" s="609">
        <f t="shared" si="98"/>
        <v>13654</v>
      </c>
      <c r="M251" s="197"/>
      <c r="N251" s="197"/>
      <c r="O251" s="609">
        <v>13654</v>
      </c>
      <c r="P251" s="197"/>
      <c r="Q251" s="181">
        <f t="shared" si="95"/>
        <v>2000</v>
      </c>
      <c r="R251" s="609"/>
      <c r="S251" s="197"/>
      <c r="T251" s="609">
        <v>2000</v>
      </c>
      <c r="U251" s="197"/>
      <c r="V251" s="197"/>
      <c r="W251" s="197"/>
      <c r="X251" s="621" t="s">
        <v>932</v>
      </c>
      <c r="Y251" s="232"/>
      <c r="Z251" s="232"/>
      <c r="AA251" s="596"/>
      <c r="AB251" s="596"/>
      <c r="AC251" s="596"/>
    </row>
    <row r="252" spans="1:29" s="281" customFormat="1" ht="81.75" customHeight="1">
      <c r="A252" s="238"/>
      <c r="B252" s="662" t="s">
        <v>1386</v>
      </c>
      <c r="C252" s="607" t="s">
        <v>1079</v>
      </c>
      <c r="D252" s="663" t="s">
        <v>1387</v>
      </c>
      <c r="E252" s="664" t="s">
        <v>1388</v>
      </c>
      <c r="F252" s="664" t="s">
        <v>1388</v>
      </c>
      <c r="G252" s="197">
        <f t="shared" si="97"/>
        <v>376000</v>
      </c>
      <c r="H252" s="197"/>
      <c r="I252" s="197"/>
      <c r="J252" s="609">
        <v>376000</v>
      </c>
      <c r="K252" s="197"/>
      <c r="L252" s="609">
        <f t="shared" si="98"/>
        <v>182081</v>
      </c>
      <c r="M252" s="197"/>
      <c r="N252" s="197"/>
      <c r="O252" s="609">
        <v>182081</v>
      </c>
      <c r="P252" s="197"/>
      <c r="Q252" s="181">
        <f t="shared" si="95"/>
        <v>60000</v>
      </c>
      <c r="R252" s="609"/>
      <c r="S252" s="197"/>
      <c r="T252" s="609">
        <v>60000</v>
      </c>
      <c r="U252" s="197"/>
      <c r="V252" s="197"/>
      <c r="W252" s="197"/>
      <c r="X252" s="621" t="s">
        <v>932</v>
      </c>
      <c r="Y252" s="232"/>
      <c r="Z252" s="232"/>
      <c r="AA252" s="596"/>
      <c r="AB252" s="596"/>
      <c r="AC252" s="596"/>
    </row>
    <row r="253" spans="1:29" s="298" customFormat="1" ht="44.25" customHeight="1">
      <c r="A253" s="294" t="s">
        <v>415</v>
      </c>
      <c r="B253" s="665" t="s">
        <v>931</v>
      </c>
      <c r="C253" s="611"/>
      <c r="D253" s="666"/>
      <c r="E253" s="667"/>
      <c r="F253" s="667"/>
      <c r="G253" s="295">
        <f>SUM(G254:G260)</f>
        <v>149138</v>
      </c>
      <c r="H253" s="295">
        <f t="shared" ref="H253:W253" si="99">SUM(H254:H260)</f>
        <v>0</v>
      </c>
      <c r="I253" s="295">
        <f t="shared" si="99"/>
        <v>0</v>
      </c>
      <c r="J253" s="295">
        <f t="shared" si="99"/>
        <v>149138</v>
      </c>
      <c r="K253" s="295">
        <f t="shared" si="99"/>
        <v>0</v>
      </c>
      <c r="L253" s="295">
        <f t="shared" si="99"/>
        <v>108878</v>
      </c>
      <c r="M253" s="295">
        <f t="shared" si="99"/>
        <v>0</v>
      </c>
      <c r="N253" s="295">
        <f t="shared" si="99"/>
        <v>0</v>
      </c>
      <c r="O253" s="295">
        <f t="shared" si="99"/>
        <v>108878</v>
      </c>
      <c r="P253" s="295">
        <f t="shared" si="99"/>
        <v>0</v>
      </c>
      <c r="Q253" s="295">
        <f t="shared" si="99"/>
        <v>19100</v>
      </c>
      <c r="R253" s="295">
        <f t="shared" si="99"/>
        <v>9700</v>
      </c>
      <c r="S253" s="295">
        <f t="shared" si="99"/>
        <v>0</v>
      </c>
      <c r="T253" s="295">
        <f t="shared" si="99"/>
        <v>9400</v>
      </c>
      <c r="U253" s="295">
        <f t="shared" si="99"/>
        <v>0</v>
      </c>
      <c r="V253" s="295">
        <f t="shared" si="99"/>
        <v>0</v>
      </c>
      <c r="W253" s="295">
        <f t="shared" si="99"/>
        <v>0</v>
      </c>
      <c r="X253" s="610"/>
      <c r="Y253" s="297"/>
      <c r="Z253" s="297"/>
      <c r="AA253" s="597"/>
      <c r="AB253" s="597"/>
      <c r="AC253" s="597"/>
    </row>
    <row r="254" spans="1:29" s="281" customFormat="1" ht="81.75" customHeight="1">
      <c r="A254" s="238"/>
      <c r="B254" s="662" t="s">
        <v>1389</v>
      </c>
      <c r="C254" s="607" t="s">
        <v>830</v>
      </c>
      <c r="D254" s="663" t="s">
        <v>1390</v>
      </c>
      <c r="E254" s="664" t="s">
        <v>1391</v>
      </c>
      <c r="F254" s="664" t="s">
        <v>1391</v>
      </c>
      <c r="G254" s="197">
        <f t="shared" si="97"/>
        <v>16317</v>
      </c>
      <c r="H254" s="197"/>
      <c r="I254" s="197"/>
      <c r="J254" s="609">
        <v>16317</v>
      </c>
      <c r="K254" s="197"/>
      <c r="L254" s="609">
        <f t="shared" si="98"/>
        <v>10935</v>
      </c>
      <c r="M254" s="197"/>
      <c r="N254" s="197"/>
      <c r="O254" s="609">
        <v>10935</v>
      </c>
      <c r="P254" s="197"/>
      <c r="Q254" s="181">
        <f t="shared" si="95"/>
        <v>1800</v>
      </c>
      <c r="R254" s="609">
        <v>1800</v>
      </c>
      <c r="S254" s="197"/>
      <c r="T254" s="609"/>
      <c r="U254" s="197"/>
      <c r="V254" s="197"/>
      <c r="W254" s="197"/>
      <c r="X254" s="668" t="s">
        <v>931</v>
      </c>
      <c r="Y254" s="232"/>
      <c r="Z254" s="232"/>
      <c r="AA254" s="596"/>
      <c r="AB254" s="596"/>
      <c r="AC254" s="596"/>
    </row>
    <row r="255" spans="1:29" s="281" customFormat="1" ht="81.75" customHeight="1">
      <c r="A255" s="238"/>
      <c r="B255" s="662" t="s">
        <v>1392</v>
      </c>
      <c r="C255" s="607" t="s">
        <v>826</v>
      </c>
      <c r="D255" s="663" t="s">
        <v>507</v>
      </c>
      <c r="E255" s="664" t="s">
        <v>1393</v>
      </c>
      <c r="F255" s="664" t="s">
        <v>1393</v>
      </c>
      <c r="G255" s="197">
        <f t="shared" si="97"/>
        <v>10000</v>
      </c>
      <c r="H255" s="197"/>
      <c r="I255" s="197"/>
      <c r="J255" s="609">
        <v>10000</v>
      </c>
      <c r="K255" s="197"/>
      <c r="L255" s="609">
        <f t="shared" si="98"/>
        <v>2265</v>
      </c>
      <c r="M255" s="197"/>
      <c r="N255" s="197"/>
      <c r="O255" s="609">
        <v>2265</v>
      </c>
      <c r="P255" s="197"/>
      <c r="Q255" s="181">
        <f t="shared" si="95"/>
        <v>5200</v>
      </c>
      <c r="R255" s="609">
        <v>5200</v>
      </c>
      <c r="S255" s="197"/>
      <c r="T255" s="609"/>
      <c r="U255" s="197"/>
      <c r="V255" s="197"/>
      <c r="W255" s="197"/>
      <c r="X255" s="668" t="s">
        <v>931</v>
      </c>
      <c r="Y255" s="232"/>
      <c r="Z255" s="232"/>
      <c r="AA255" s="596"/>
      <c r="AB255" s="596"/>
      <c r="AC255" s="596"/>
    </row>
    <row r="256" spans="1:29" s="281" customFormat="1" ht="81.75" customHeight="1">
      <c r="A256" s="238"/>
      <c r="B256" s="606" t="s">
        <v>1394</v>
      </c>
      <c r="C256" s="607" t="s">
        <v>830</v>
      </c>
      <c r="D256" s="607" t="s">
        <v>507</v>
      </c>
      <c r="E256" s="608" t="s">
        <v>1395</v>
      </c>
      <c r="F256" s="608" t="s">
        <v>1395</v>
      </c>
      <c r="G256" s="197">
        <f t="shared" si="97"/>
        <v>14221</v>
      </c>
      <c r="H256" s="197"/>
      <c r="I256" s="197"/>
      <c r="J256" s="609">
        <v>14221</v>
      </c>
      <c r="K256" s="197"/>
      <c r="L256" s="609">
        <f t="shared" si="98"/>
        <v>7981</v>
      </c>
      <c r="M256" s="197"/>
      <c r="N256" s="197"/>
      <c r="O256" s="609">
        <v>7981</v>
      </c>
      <c r="P256" s="197"/>
      <c r="Q256" s="181">
        <f t="shared" si="95"/>
        <v>2700</v>
      </c>
      <c r="R256" s="609">
        <v>2700</v>
      </c>
      <c r="S256" s="197"/>
      <c r="T256" s="609"/>
      <c r="U256" s="197"/>
      <c r="V256" s="197"/>
      <c r="W256" s="197"/>
      <c r="X256" s="668" t="s">
        <v>931</v>
      </c>
      <c r="Y256" s="232"/>
      <c r="Z256" s="232"/>
      <c r="AA256" s="596"/>
      <c r="AB256" s="596"/>
      <c r="AC256" s="596"/>
    </row>
    <row r="257" spans="1:29" s="281" customFormat="1" ht="81.75" customHeight="1">
      <c r="A257" s="238"/>
      <c r="B257" s="606" t="s">
        <v>1396</v>
      </c>
      <c r="C257" s="607" t="s">
        <v>1397</v>
      </c>
      <c r="D257" s="254"/>
      <c r="E257" s="254"/>
      <c r="F257" s="608" t="s">
        <v>1398</v>
      </c>
      <c r="G257" s="197">
        <f t="shared" si="97"/>
        <v>18000</v>
      </c>
      <c r="H257" s="197"/>
      <c r="I257" s="197"/>
      <c r="J257" s="609">
        <v>18000</v>
      </c>
      <c r="K257" s="197"/>
      <c r="L257" s="609">
        <f t="shared" si="98"/>
        <v>15400</v>
      </c>
      <c r="M257" s="197"/>
      <c r="N257" s="197"/>
      <c r="O257" s="609">
        <v>15400</v>
      </c>
      <c r="P257" s="197"/>
      <c r="Q257" s="181">
        <f t="shared" si="95"/>
        <v>800</v>
      </c>
      <c r="R257" s="197"/>
      <c r="S257" s="197"/>
      <c r="T257" s="609">
        <v>800</v>
      </c>
      <c r="U257" s="197"/>
      <c r="V257" s="197"/>
      <c r="W257" s="197"/>
      <c r="X257" s="668" t="s">
        <v>931</v>
      </c>
      <c r="Y257" s="232"/>
      <c r="Z257" s="232"/>
      <c r="AA257" s="596"/>
      <c r="AB257" s="596"/>
      <c r="AC257" s="596"/>
    </row>
    <row r="258" spans="1:29" s="281" customFormat="1" ht="81.75" customHeight="1">
      <c r="A258" s="238"/>
      <c r="B258" s="606" t="s">
        <v>1399</v>
      </c>
      <c r="C258" s="607" t="s">
        <v>1400</v>
      </c>
      <c r="D258" s="254"/>
      <c r="E258" s="254"/>
      <c r="F258" s="608" t="s">
        <v>1401</v>
      </c>
      <c r="G258" s="197">
        <f t="shared" si="97"/>
        <v>36000</v>
      </c>
      <c r="H258" s="197"/>
      <c r="I258" s="197"/>
      <c r="J258" s="609">
        <v>36000</v>
      </c>
      <c r="K258" s="197"/>
      <c r="L258" s="609">
        <f t="shared" si="98"/>
        <v>31700</v>
      </c>
      <c r="M258" s="197"/>
      <c r="N258" s="197"/>
      <c r="O258" s="609">
        <v>31700</v>
      </c>
      <c r="P258" s="197"/>
      <c r="Q258" s="181">
        <f t="shared" si="95"/>
        <v>600</v>
      </c>
      <c r="R258" s="197"/>
      <c r="S258" s="197"/>
      <c r="T258" s="609">
        <v>600</v>
      </c>
      <c r="U258" s="197"/>
      <c r="V258" s="197"/>
      <c r="W258" s="197"/>
      <c r="X258" s="668" t="s">
        <v>931</v>
      </c>
      <c r="Y258" s="232"/>
      <c r="Z258" s="232"/>
      <c r="AA258" s="596"/>
      <c r="AB258" s="596"/>
      <c r="AC258" s="596"/>
    </row>
    <row r="259" spans="1:29" s="281" customFormat="1" ht="108.75" customHeight="1">
      <c r="A259" s="238"/>
      <c r="B259" s="631" t="s">
        <v>1402</v>
      </c>
      <c r="C259" s="632" t="s">
        <v>830</v>
      </c>
      <c r="D259" s="254"/>
      <c r="E259" s="254"/>
      <c r="F259" s="632" t="s">
        <v>1403</v>
      </c>
      <c r="G259" s="197">
        <f t="shared" si="97"/>
        <v>38600</v>
      </c>
      <c r="H259" s="197"/>
      <c r="I259" s="197"/>
      <c r="J259" s="633">
        <v>38600</v>
      </c>
      <c r="K259" s="197"/>
      <c r="L259" s="609">
        <f t="shared" si="98"/>
        <v>31874</v>
      </c>
      <c r="M259" s="197"/>
      <c r="N259" s="197"/>
      <c r="O259" s="633">
        <v>31874</v>
      </c>
      <c r="P259" s="197"/>
      <c r="Q259" s="181">
        <f t="shared" si="95"/>
        <v>3000</v>
      </c>
      <c r="R259" s="197"/>
      <c r="S259" s="197"/>
      <c r="T259" s="609">
        <v>3000</v>
      </c>
      <c r="U259" s="197"/>
      <c r="V259" s="197"/>
      <c r="W259" s="197"/>
      <c r="X259" s="668" t="s">
        <v>931</v>
      </c>
      <c r="Y259" s="232"/>
      <c r="Z259" s="232"/>
      <c r="AA259" s="596"/>
      <c r="AB259" s="596"/>
      <c r="AC259" s="596"/>
    </row>
    <row r="260" spans="1:29" s="281" customFormat="1" ht="103.5" customHeight="1">
      <c r="A260" s="238"/>
      <c r="B260" s="631" t="s">
        <v>1404</v>
      </c>
      <c r="C260" s="632" t="s">
        <v>826</v>
      </c>
      <c r="D260" s="254"/>
      <c r="E260" s="254"/>
      <c r="F260" s="632" t="s">
        <v>1405</v>
      </c>
      <c r="G260" s="197">
        <f t="shared" si="97"/>
        <v>16000</v>
      </c>
      <c r="H260" s="197"/>
      <c r="I260" s="197"/>
      <c r="J260" s="633">
        <v>16000</v>
      </c>
      <c r="K260" s="197"/>
      <c r="L260" s="609">
        <f t="shared" si="98"/>
        <v>8723</v>
      </c>
      <c r="M260" s="197"/>
      <c r="N260" s="197"/>
      <c r="O260" s="633">
        <v>8723</v>
      </c>
      <c r="P260" s="197"/>
      <c r="Q260" s="181">
        <f t="shared" si="95"/>
        <v>5000</v>
      </c>
      <c r="R260" s="197"/>
      <c r="S260" s="197"/>
      <c r="T260" s="609">
        <v>5000</v>
      </c>
      <c r="U260" s="197"/>
      <c r="V260" s="197"/>
      <c r="W260" s="197"/>
      <c r="X260" s="668" t="s">
        <v>931</v>
      </c>
      <c r="Y260" s="232"/>
      <c r="Z260" s="232"/>
      <c r="AA260" s="596"/>
      <c r="AB260" s="596"/>
      <c r="AC260" s="596"/>
    </row>
    <row r="261" spans="1:29" s="298" customFormat="1" ht="54.75" customHeight="1">
      <c r="A261" s="294" t="s">
        <v>418</v>
      </c>
      <c r="B261" s="610" t="s">
        <v>926</v>
      </c>
      <c r="C261" s="611"/>
      <c r="D261" s="557"/>
      <c r="E261" s="557"/>
      <c r="F261" s="612"/>
      <c r="G261" s="295">
        <f t="shared" ref="G261:W261" si="100">SUM(G262:G263)</f>
        <v>48909.328300000001</v>
      </c>
      <c r="H261" s="295">
        <f t="shared" si="100"/>
        <v>0</v>
      </c>
      <c r="I261" s="295">
        <f t="shared" si="100"/>
        <v>0</v>
      </c>
      <c r="J261" s="295">
        <f t="shared" si="100"/>
        <v>48909.328300000001</v>
      </c>
      <c r="K261" s="295">
        <f t="shared" si="100"/>
        <v>0</v>
      </c>
      <c r="L261" s="295">
        <f t="shared" si="100"/>
        <v>45000</v>
      </c>
      <c r="M261" s="295">
        <f t="shared" si="100"/>
        <v>0</v>
      </c>
      <c r="N261" s="295">
        <f t="shared" si="100"/>
        <v>0</v>
      </c>
      <c r="O261" s="295">
        <f t="shared" si="100"/>
        <v>45000</v>
      </c>
      <c r="P261" s="295">
        <f t="shared" si="100"/>
        <v>0</v>
      </c>
      <c r="Q261" s="295">
        <f t="shared" si="100"/>
        <v>1000</v>
      </c>
      <c r="R261" s="295">
        <f t="shared" si="100"/>
        <v>0</v>
      </c>
      <c r="S261" s="295">
        <f t="shared" si="100"/>
        <v>0</v>
      </c>
      <c r="T261" s="295">
        <f t="shared" si="100"/>
        <v>1000</v>
      </c>
      <c r="U261" s="295">
        <f t="shared" si="100"/>
        <v>0</v>
      </c>
      <c r="V261" s="295">
        <f t="shared" si="100"/>
        <v>0</v>
      </c>
      <c r="W261" s="295">
        <f t="shared" si="100"/>
        <v>0</v>
      </c>
      <c r="X261" s="610"/>
      <c r="Y261" s="297"/>
      <c r="Z261" s="297"/>
      <c r="AA261" s="597"/>
      <c r="AB261" s="597"/>
      <c r="AC261" s="597"/>
    </row>
    <row r="262" spans="1:29" s="281" customFormat="1" ht="81.75" customHeight="1">
      <c r="A262" s="238"/>
      <c r="B262" s="606" t="s">
        <v>1406</v>
      </c>
      <c r="C262" s="607" t="s">
        <v>837</v>
      </c>
      <c r="D262" s="254"/>
      <c r="E262" s="254"/>
      <c r="F262" s="608" t="s">
        <v>1407</v>
      </c>
      <c r="G262" s="197">
        <f t="shared" si="97"/>
        <v>20770.989300000001</v>
      </c>
      <c r="H262" s="197"/>
      <c r="I262" s="197"/>
      <c r="J262" s="609">
        <v>20770.989300000001</v>
      </c>
      <c r="K262" s="197"/>
      <c r="L262" s="609">
        <f t="shared" si="98"/>
        <v>19000</v>
      </c>
      <c r="M262" s="197"/>
      <c r="N262" s="197"/>
      <c r="O262" s="609">
        <v>19000</v>
      </c>
      <c r="P262" s="197"/>
      <c r="Q262" s="181">
        <f t="shared" si="95"/>
        <v>500</v>
      </c>
      <c r="R262" s="197"/>
      <c r="S262" s="197"/>
      <c r="T262" s="609">
        <v>500</v>
      </c>
      <c r="U262" s="197"/>
      <c r="V262" s="197"/>
      <c r="W262" s="197"/>
      <c r="X262" s="608" t="s">
        <v>926</v>
      </c>
      <c r="Y262" s="232"/>
      <c r="Z262" s="232"/>
      <c r="AA262" s="596"/>
      <c r="AB262" s="596"/>
      <c r="AC262" s="596"/>
    </row>
    <row r="263" spans="1:29" s="281" customFormat="1" ht="81.75" customHeight="1">
      <c r="A263" s="238"/>
      <c r="B263" s="606" t="s">
        <v>1408</v>
      </c>
      <c r="C263" s="607" t="s">
        <v>837</v>
      </c>
      <c r="D263" s="254"/>
      <c r="E263" s="254"/>
      <c r="F263" s="608" t="s">
        <v>1409</v>
      </c>
      <c r="G263" s="197">
        <f t="shared" si="97"/>
        <v>28138.339</v>
      </c>
      <c r="H263" s="197"/>
      <c r="I263" s="197"/>
      <c r="J263" s="609">
        <v>28138.339</v>
      </c>
      <c r="K263" s="197"/>
      <c r="L263" s="609">
        <f t="shared" si="98"/>
        <v>26000</v>
      </c>
      <c r="M263" s="197"/>
      <c r="N263" s="197"/>
      <c r="O263" s="609">
        <v>26000</v>
      </c>
      <c r="P263" s="197"/>
      <c r="Q263" s="181">
        <f t="shared" si="95"/>
        <v>500</v>
      </c>
      <c r="R263" s="197"/>
      <c r="S263" s="197"/>
      <c r="T263" s="609">
        <v>500</v>
      </c>
      <c r="U263" s="197"/>
      <c r="V263" s="197"/>
      <c r="W263" s="197"/>
      <c r="X263" s="608" t="s">
        <v>926</v>
      </c>
      <c r="Y263" s="232"/>
      <c r="Z263" s="232"/>
      <c r="AA263" s="596"/>
      <c r="AB263" s="596"/>
      <c r="AC263" s="596"/>
    </row>
    <row r="264" spans="1:29" s="298" customFormat="1" ht="45" customHeight="1">
      <c r="A264" s="294" t="s">
        <v>421</v>
      </c>
      <c r="B264" s="610" t="s">
        <v>927</v>
      </c>
      <c r="C264" s="611"/>
      <c r="D264" s="557"/>
      <c r="E264" s="557"/>
      <c r="F264" s="612"/>
      <c r="G264" s="295">
        <f>SUM(G265:G273)</f>
        <v>233900</v>
      </c>
      <c r="H264" s="295">
        <f t="shared" ref="H264:V264" si="101">SUM(H265:H273)</f>
        <v>0</v>
      </c>
      <c r="I264" s="295">
        <f t="shared" si="101"/>
        <v>0</v>
      </c>
      <c r="J264" s="295">
        <f t="shared" si="101"/>
        <v>233900</v>
      </c>
      <c r="K264" s="295">
        <f t="shared" si="101"/>
        <v>0</v>
      </c>
      <c r="L264" s="295">
        <f t="shared" si="101"/>
        <v>119927</v>
      </c>
      <c r="M264" s="295">
        <f t="shared" si="101"/>
        <v>0</v>
      </c>
      <c r="N264" s="295">
        <f t="shared" si="101"/>
        <v>0</v>
      </c>
      <c r="O264" s="295">
        <f t="shared" si="101"/>
        <v>119927</v>
      </c>
      <c r="P264" s="295">
        <f t="shared" si="101"/>
        <v>0</v>
      </c>
      <c r="Q264" s="295">
        <f>SUM(Q265:Q273)</f>
        <v>91077</v>
      </c>
      <c r="R264" s="295">
        <f t="shared" si="101"/>
        <v>26400</v>
      </c>
      <c r="S264" s="295">
        <f t="shared" si="101"/>
        <v>0</v>
      </c>
      <c r="T264" s="295">
        <f t="shared" si="101"/>
        <v>64677</v>
      </c>
      <c r="U264" s="295">
        <f t="shared" si="101"/>
        <v>0</v>
      </c>
      <c r="V264" s="295">
        <f t="shared" si="101"/>
        <v>0</v>
      </c>
      <c r="W264" s="295">
        <f t="shared" ref="W264" si="102">SUM(W265:W272)</f>
        <v>0</v>
      </c>
      <c r="X264" s="610"/>
      <c r="Y264" s="297"/>
      <c r="Z264" s="297"/>
      <c r="AA264" s="597"/>
      <c r="AB264" s="597"/>
      <c r="AC264" s="597"/>
    </row>
    <row r="265" spans="1:29" s="623" customFormat="1" ht="59.25" customHeight="1">
      <c r="A265" s="617"/>
      <c r="B265" s="606" t="s">
        <v>1410</v>
      </c>
      <c r="C265" s="607" t="s">
        <v>869</v>
      </c>
      <c r="D265" s="669"/>
      <c r="E265" s="669"/>
      <c r="F265" s="608" t="s">
        <v>1411</v>
      </c>
      <c r="G265" s="609">
        <f>SUM(H265:K265)</f>
        <v>43000</v>
      </c>
      <c r="H265" s="670"/>
      <c r="I265" s="670"/>
      <c r="J265" s="609">
        <v>43000</v>
      </c>
      <c r="K265" s="670"/>
      <c r="L265" s="197">
        <f>SUM(M265:P265)</f>
        <v>35988</v>
      </c>
      <c r="M265" s="670"/>
      <c r="N265" s="670"/>
      <c r="O265" s="649">
        <v>35988</v>
      </c>
      <c r="P265" s="670"/>
      <c r="Q265" s="181">
        <f>SUM(R265:W265)</f>
        <v>5000</v>
      </c>
      <c r="R265" s="670"/>
      <c r="S265" s="670"/>
      <c r="T265" s="649">
        <v>5000</v>
      </c>
      <c r="U265" s="670"/>
      <c r="V265" s="670"/>
      <c r="W265" s="670"/>
      <c r="X265" s="621" t="s">
        <v>927</v>
      </c>
      <c r="Y265" s="622"/>
      <c r="Z265" s="622"/>
      <c r="AA265" s="597"/>
      <c r="AB265" s="597"/>
      <c r="AC265" s="597"/>
    </row>
    <row r="266" spans="1:29" s="281" customFormat="1" ht="59.25" customHeight="1">
      <c r="A266" s="238"/>
      <c r="B266" s="606" t="s">
        <v>1412</v>
      </c>
      <c r="C266" s="607" t="s">
        <v>868</v>
      </c>
      <c r="D266" s="254"/>
      <c r="E266" s="254"/>
      <c r="F266" s="608" t="s">
        <v>1413</v>
      </c>
      <c r="G266" s="609">
        <f t="shared" ref="G266:G268" si="103">SUM(H266:K266)</f>
        <v>17000</v>
      </c>
      <c r="H266" s="197"/>
      <c r="I266" s="197"/>
      <c r="J266" s="609">
        <v>17000</v>
      </c>
      <c r="K266" s="197"/>
      <c r="L266" s="197">
        <f t="shared" ref="L266:L267" si="104">SUM(M266:P266)</f>
        <v>11000</v>
      </c>
      <c r="M266" s="197"/>
      <c r="N266" s="197"/>
      <c r="O266" s="649">
        <v>11000</v>
      </c>
      <c r="P266" s="197"/>
      <c r="Q266" s="181">
        <f t="shared" ref="Q266:Q267" si="105">SUM(R266:W266)</f>
        <v>5000</v>
      </c>
      <c r="R266" s="197"/>
      <c r="S266" s="197"/>
      <c r="T266" s="649">
        <v>5000</v>
      </c>
      <c r="U266" s="197"/>
      <c r="V266" s="197"/>
      <c r="W266" s="197"/>
      <c r="X266" s="621" t="s">
        <v>927</v>
      </c>
      <c r="Y266" s="232"/>
      <c r="Z266" s="232"/>
      <c r="AA266" s="596"/>
      <c r="AB266" s="596"/>
      <c r="AC266" s="596"/>
    </row>
    <row r="267" spans="1:29" s="281" customFormat="1" ht="59.25" customHeight="1">
      <c r="A267" s="238"/>
      <c r="B267" s="606" t="s">
        <v>1414</v>
      </c>
      <c r="C267" s="607" t="s">
        <v>868</v>
      </c>
      <c r="D267" s="254"/>
      <c r="E267" s="254"/>
      <c r="F267" s="608" t="s">
        <v>1415</v>
      </c>
      <c r="G267" s="609">
        <f t="shared" si="103"/>
        <v>4500</v>
      </c>
      <c r="H267" s="197"/>
      <c r="I267" s="197"/>
      <c r="J267" s="609">
        <v>4500</v>
      </c>
      <c r="K267" s="197"/>
      <c r="L267" s="197">
        <f t="shared" si="104"/>
        <v>3029</v>
      </c>
      <c r="M267" s="197"/>
      <c r="N267" s="197"/>
      <c r="O267" s="649">
        <v>3029</v>
      </c>
      <c r="P267" s="197"/>
      <c r="Q267" s="181">
        <f t="shared" si="105"/>
        <v>1400</v>
      </c>
      <c r="R267" s="649">
        <v>1400</v>
      </c>
      <c r="S267" s="197"/>
      <c r="T267" s="197"/>
      <c r="U267" s="197"/>
      <c r="V267" s="197"/>
      <c r="W267" s="197"/>
      <c r="X267" s="621" t="s">
        <v>927</v>
      </c>
      <c r="Y267" s="232"/>
      <c r="Z267" s="232"/>
      <c r="AA267" s="596"/>
      <c r="AB267" s="596"/>
      <c r="AC267" s="596"/>
    </row>
    <row r="268" spans="1:29" s="281" customFormat="1" ht="59.25" customHeight="1">
      <c r="A268" s="238"/>
      <c r="B268" s="606" t="s">
        <v>1416</v>
      </c>
      <c r="C268" s="607" t="s">
        <v>851</v>
      </c>
      <c r="D268" s="254"/>
      <c r="E268" s="254"/>
      <c r="F268" s="608" t="s">
        <v>1417</v>
      </c>
      <c r="G268" s="609">
        <f t="shared" si="103"/>
        <v>10000</v>
      </c>
      <c r="H268" s="197"/>
      <c r="I268" s="197"/>
      <c r="J268" s="609">
        <v>10000</v>
      </c>
      <c r="K268" s="197"/>
      <c r="L268" s="197">
        <f>SUM(M268:P268)</f>
        <v>1000</v>
      </c>
      <c r="M268" s="197"/>
      <c r="N268" s="197"/>
      <c r="O268" s="609">
        <v>1000</v>
      </c>
      <c r="P268" s="197"/>
      <c r="Q268" s="181">
        <f>SUM(R268:W268)</f>
        <v>9000</v>
      </c>
      <c r="R268" s="609"/>
      <c r="S268" s="197"/>
      <c r="T268" s="609">
        <v>9000</v>
      </c>
      <c r="U268" s="197"/>
      <c r="V268" s="197"/>
      <c r="W268" s="197"/>
      <c r="X268" s="621" t="s">
        <v>927</v>
      </c>
      <c r="Y268" s="232"/>
      <c r="Z268" s="232"/>
      <c r="AA268" s="596"/>
      <c r="AB268" s="596"/>
      <c r="AC268" s="596"/>
    </row>
    <row r="269" spans="1:29" s="281" customFormat="1" ht="59.25" customHeight="1">
      <c r="A269" s="238"/>
      <c r="B269" s="606" t="s">
        <v>1418</v>
      </c>
      <c r="C269" s="607" t="s">
        <v>1419</v>
      </c>
      <c r="D269" s="254"/>
      <c r="E269" s="254"/>
      <c r="F269" s="608" t="s">
        <v>1420</v>
      </c>
      <c r="G269" s="609">
        <f>H269+I269+J269</f>
        <v>8000</v>
      </c>
      <c r="H269" s="197"/>
      <c r="I269" s="197"/>
      <c r="J269" s="609">
        <v>8000</v>
      </c>
      <c r="K269" s="197"/>
      <c r="L269" s="197">
        <f t="shared" ref="L269:L272" si="106">SUM(M269:P269)</f>
        <v>3500</v>
      </c>
      <c r="M269" s="197"/>
      <c r="N269" s="197"/>
      <c r="O269" s="609">
        <v>3500</v>
      </c>
      <c r="P269" s="197"/>
      <c r="Q269" s="181">
        <f t="shared" ref="Q269:R286" si="107">SUM(R269:W269)</f>
        <v>4000</v>
      </c>
      <c r="R269" s="609"/>
      <c r="S269" s="197"/>
      <c r="T269" s="609">
        <v>4000</v>
      </c>
      <c r="U269" s="197"/>
      <c r="V269" s="197"/>
      <c r="W269" s="197"/>
      <c r="X269" s="621" t="s">
        <v>927</v>
      </c>
      <c r="Y269" s="232"/>
      <c r="Z269" s="232"/>
      <c r="AA269" s="596"/>
      <c r="AB269" s="596"/>
      <c r="AC269" s="596"/>
    </row>
    <row r="270" spans="1:29" s="281" customFormat="1" ht="99" customHeight="1">
      <c r="A270" s="238"/>
      <c r="B270" s="606" t="s">
        <v>1421</v>
      </c>
      <c r="C270" s="607" t="s">
        <v>866</v>
      </c>
      <c r="D270" s="254"/>
      <c r="E270" s="254"/>
      <c r="F270" s="608" t="s">
        <v>1422</v>
      </c>
      <c r="G270" s="609">
        <v>26800</v>
      </c>
      <c r="H270" s="197"/>
      <c r="I270" s="197"/>
      <c r="J270" s="609">
        <v>26800</v>
      </c>
      <c r="K270" s="197"/>
      <c r="L270" s="197">
        <f t="shared" si="106"/>
        <v>8000</v>
      </c>
      <c r="M270" s="197"/>
      <c r="N270" s="197"/>
      <c r="O270" s="609">
        <v>8000</v>
      </c>
      <c r="P270" s="197"/>
      <c r="Q270" s="181">
        <f t="shared" si="107"/>
        <v>17000</v>
      </c>
      <c r="R270" s="609">
        <v>5000</v>
      </c>
      <c r="S270" s="197"/>
      <c r="T270" s="609">
        <v>12000</v>
      </c>
      <c r="U270" s="197"/>
      <c r="V270" s="197"/>
      <c r="W270" s="197"/>
      <c r="X270" s="621" t="s">
        <v>927</v>
      </c>
      <c r="Y270" s="232"/>
      <c r="Z270" s="232"/>
      <c r="AA270" s="596"/>
      <c r="AB270" s="596"/>
      <c r="AC270" s="596"/>
    </row>
    <row r="271" spans="1:29" s="281" customFormat="1" ht="59.25" customHeight="1">
      <c r="A271" s="238"/>
      <c r="B271" s="606" t="s">
        <v>285</v>
      </c>
      <c r="C271" s="607" t="s">
        <v>1423</v>
      </c>
      <c r="D271" s="254"/>
      <c r="E271" s="254"/>
      <c r="F271" s="608" t="s">
        <v>352</v>
      </c>
      <c r="G271" s="609">
        <f>H271+I271+J271</f>
        <v>65000</v>
      </c>
      <c r="H271" s="197"/>
      <c r="I271" s="197"/>
      <c r="J271" s="609">
        <v>65000</v>
      </c>
      <c r="K271" s="197"/>
      <c r="L271" s="197">
        <f t="shared" si="106"/>
        <v>36787</v>
      </c>
      <c r="M271" s="197"/>
      <c r="N271" s="197"/>
      <c r="O271" s="609">
        <v>36787</v>
      </c>
      <c r="P271" s="197"/>
      <c r="Q271" s="181">
        <f t="shared" si="107"/>
        <v>20000</v>
      </c>
      <c r="R271" s="609">
        <v>15000</v>
      </c>
      <c r="S271" s="197"/>
      <c r="T271" s="609">
        <v>5000</v>
      </c>
      <c r="U271" s="197"/>
      <c r="V271" s="197"/>
      <c r="W271" s="197"/>
      <c r="X271" s="621" t="s">
        <v>927</v>
      </c>
      <c r="Y271" s="232"/>
      <c r="Z271" s="232"/>
      <c r="AA271" s="596"/>
      <c r="AB271" s="596"/>
      <c r="AC271" s="596"/>
    </row>
    <row r="272" spans="1:29" s="281" customFormat="1" ht="59.25" customHeight="1">
      <c r="A272" s="238"/>
      <c r="B272" s="606" t="s">
        <v>1424</v>
      </c>
      <c r="C272" s="607" t="s">
        <v>863</v>
      </c>
      <c r="D272" s="254"/>
      <c r="E272" s="254"/>
      <c r="F272" s="608" t="s">
        <v>1425</v>
      </c>
      <c r="G272" s="609">
        <f>H272+I272+J272</f>
        <v>32000</v>
      </c>
      <c r="H272" s="197"/>
      <c r="I272" s="197"/>
      <c r="J272" s="609">
        <v>32000</v>
      </c>
      <c r="K272" s="197"/>
      <c r="L272" s="197">
        <f t="shared" si="106"/>
        <v>7700</v>
      </c>
      <c r="M272" s="197"/>
      <c r="N272" s="197"/>
      <c r="O272" s="609">
        <v>7700</v>
      </c>
      <c r="P272" s="197"/>
      <c r="Q272" s="181">
        <f t="shared" si="107"/>
        <v>15000</v>
      </c>
      <c r="R272" s="609">
        <v>5000</v>
      </c>
      <c r="S272" s="197"/>
      <c r="T272" s="609">
        <v>10000</v>
      </c>
      <c r="U272" s="197"/>
      <c r="V272" s="197"/>
      <c r="W272" s="197"/>
      <c r="X272" s="621" t="s">
        <v>927</v>
      </c>
      <c r="Y272" s="232"/>
      <c r="Z272" s="232"/>
      <c r="AA272" s="596"/>
      <c r="AB272" s="596"/>
      <c r="AC272" s="596"/>
    </row>
    <row r="273" spans="1:29" s="265" customFormat="1" ht="80.25" customHeight="1">
      <c r="A273" s="282"/>
      <c r="B273" s="654" t="s">
        <v>1426</v>
      </c>
      <c r="C273" s="651" t="s">
        <v>1427</v>
      </c>
      <c r="D273" s="284"/>
      <c r="E273" s="284"/>
      <c r="F273" s="651" t="s">
        <v>1428</v>
      </c>
      <c r="G273" s="197">
        <f>SUM(H273:K273)</f>
        <v>27600</v>
      </c>
      <c r="H273" s="287"/>
      <c r="I273" s="287"/>
      <c r="J273" s="655">
        <v>27600</v>
      </c>
      <c r="K273" s="287"/>
      <c r="L273" s="197">
        <f>SUM(M273:P273)</f>
        <v>12923</v>
      </c>
      <c r="M273" s="287"/>
      <c r="N273" s="287"/>
      <c r="O273" s="655">
        <v>12923</v>
      </c>
      <c r="P273" s="287"/>
      <c r="Q273" s="197">
        <f>SUM(R273:W273)</f>
        <v>14677</v>
      </c>
      <c r="R273" s="609"/>
      <c r="S273" s="287"/>
      <c r="T273" s="655">
        <v>14677</v>
      </c>
      <c r="U273" s="287"/>
      <c r="V273" s="287"/>
      <c r="W273" s="287"/>
      <c r="X273" s="621" t="s">
        <v>927</v>
      </c>
      <c r="Y273" s="277"/>
      <c r="Z273" s="277"/>
      <c r="AA273" s="601" t="s">
        <v>1176</v>
      </c>
      <c r="AB273" s="601"/>
      <c r="AC273" s="601"/>
    </row>
    <row r="274" spans="1:29" s="574" customFormat="1" ht="59.25" customHeight="1">
      <c r="A274" s="630" t="s">
        <v>423</v>
      </c>
      <c r="B274" s="610" t="s">
        <v>933</v>
      </c>
      <c r="C274" s="629"/>
      <c r="D274" s="603"/>
      <c r="E274" s="603"/>
      <c r="F274" s="610"/>
      <c r="G274" s="671">
        <f>SUM(G275:G309)</f>
        <v>1267042.2</v>
      </c>
      <c r="H274" s="671">
        <f t="shared" ref="H274:W274" si="108">SUM(H275:H309)</f>
        <v>0</v>
      </c>
      <c r="I274" s="671">
        <f t="shared" si="108"/>
        <v>236500</v>
      </c>
      <c r="J274" s="671">
        <f t="shared" si="108"/>
        <v>1030542.2</v>
      </c>
      <c r="K274" s="671">
        <f t="shared" si="108"/>
        <v>0</v>
      </c>
      <c r="L274" s="671">
        <f t="shared" si="108"/>
        <v>754974.8</v>
      </c>
      <c r="M274" s="671">
        <f t="shared" si="108"/>
        <v>0</v>
      </c>
      <c r="N274" s="671">
        <f t="shared" si="108"/>
        <v>0</v>
      </c>
      <c r="O274" s="671">
        <f t="shared" si="108"/>
        <v>534974.80000000005</v>
      </c>
      <c r="P274" s="671">
        <f t="shared" si="108"/>
        <v>0</v>
      </c>
      <c r="Q274" s="671">
        <f t="shared" si="108"/>
        <v>447120.4</v>
      </c>
      <c r="R274" s="671">
        <f t="shared" si="108"/>
        <v>72698</v>
      </c>
      <c r="S274" s="671">
        <f t="shared" si="108"/>
        <v>0</v>
      </c>
      <c r="T274" s="671">
        <f>SUM(T275:T309)</f>
        <v>374422.4</v>
      </c>
      <c r="U274" s="671">
        <f t="shared" si="108"/>
        <v>0</v>
      </c>
      <c r="V274" s="671">
        <f t="shared" si="108"/>
        <v>0</v>
      </c>
      <c r="W274" s="671">
        <f t="shared" si="108"/>
        <v>0</v>
      </c>
      <c r="X274" s="610"/>
      <c r="Y274" s="573"/>
      <c r="Z274" s="573"/>
      <c r="AA274" s="599"/>
      <c r="AB274" s="599"/>
      <c r="AC274" s="599"/>
    </row>
    <row r="275" spans="1:29" s="574" customFormat="1" ht="59.25" customHeight="1">
      <c r="A275" s="630"/>
      <c r="B275" s="606" t="s">
        <v>1429</v>
      </c>
      <c r="C275" s="607" t="s">
        <v>1430</v>
      </c>
      <c r="D275" s="603"/>
      <c r="E275" s="603"/>
      <c r="F275" s="608" t="s">
        <v>1431</v>
      </c>
      <c r="G275" s="609">
        <f>SUM(H275:K275)</f>
        <v>65000</v>
      </c>
      <c r="H275" s="603"/>
      <c r="I275" s="609">
        <v>57000</v>
      </c>
      <c r="J275" s="609">
        <v>8000</v>
      </c>
      <c r="K275" s="603"/>
      <c r="L275" s="609">
        <v>57000</v>
      </c>
      <c r="M275" s="603"/>
      <c r="N275" s="603"/>
      <c r="O275" s="629"/>
      <c r="P275" s="603"/>
      <c r="Q275" s="181">
        <f t="shared" si="107"/>
        <v>6000</v>
      </c>
      <c r="R275" s="181">
        <f t="shared" si="107"/>
        <v>3000</v>
      </c>
      <c r="S275" s="603"/>
      <c r="T275" s="609">
        <v>3000</v>
      </c>
      <c r="U275" s="603"/>
      <c r="V275" s="603"/>
      <c r="W275" s="603"/>
      <c r="X275" s="621" t="s">
        <v>933</v>
      </c>
      <c r="Y275" s="573"/>
      <c r="Z275" s="573"/>
      <c r="AA275" s="599"/>
      <c r="AB275" s="599"/>
      <c r="AC275" s="599"/>
    </row>
    <row r="276" spans="1:29" s="574" customFormat="1" ht="137.25" customHeight="1">
      <c r="A276" s="630"/>
      <c r="B276" s="606" t="s">
        <v>1432</v>
      </c>
      <c r="C276" s="607" t="s">
        <v>901</v>
      </c>
      <c r="D276" s="603"/>
      <c r="E276" s="603"/>
      <c r="F276" s="608" t="s">
        <v>1433</v>
      </c>
      <c r="G276" s="609">
        <f t="shared" ref="G276:G340" si="109">SUM(H276:K276)</f>
        <v>6098</v>
      </c>
      <c r="H276" s="603"/>
      <c r="I276" s="609">
        <v>5000</v>
      </c>
      <c r="J276" s="609">
        <v>1098</v>
      </c>
      <c r="K276" s="603"/>
      <c r="L276" s="609">
        <v>5000</v>
      </c>
      <c r="M276" s="603"/>
      <c r="N276" s="603"/>
      <c r="O276" s="629"/>
      <c r="P276" s="603"/>
      <c r="Q276" s="181">
        <f t="shared" si="107"/>
        <v>1098</v>
      </c>
      <c r="R276" s="620">
        <v>1098</v>
      </c>
      <c r="S276" s="603"/>
      <c r="T276" s="609"/>
      <c r="U276" s="603"/>
      <c r="V276" s="603"/>
      <c r="W276" s="603"/>
      <c r="X276" s="621" t="s">
        <v>933</v>
      </c>
      <c r="Y276" s="573"/>
      <c r="Z276" s="573"/>
      <c r="AA276" s="599"/>
      <c r="AB276" s="599"/>
      <c r="AC276" s="599"/>
    </row>
    <row r="277" spans="1:29" s="574" customFormat="1" ht="87.75" customHeight="1">
      <c r="A277" s="630"/>
      <c r="B277" s="606" t="s">
        <v>1434</v>
      </c>
      <c r="C277" s="607" t="s">
        <v>901</v>
      </c>
      <c r="D277" s="603"/>
      <c r="E277" s="603"/>
      <c r="F277" s="608" t="s">
        <v>1435</v>
      </c>
      <c r="G277" s="609">
        <f t="shared" si="109"/>
        <v>100000</v>
      </c>
      <c r="H277" s="603"/>
      <c r="I277" s="609">
        <v>93000</v>
      </c>
      <c r="J277" s="609">
        <v>7000</v>
      </c>
      <c r="K277" s="603"/>
      <c r="L277" s="609">
        <v>93000</v>
      </c>
      <c r="M277" s="603"/>
      <c r="N277" s="603"/>
      <c r="O277" s="629"/>
      <c r="P277" s="603"/>
      <c r="Q277" s="181">
        <f t="shared" si="107"/>
        <v>4000</v>
      </c>
      <c r="R277" s="181">
        <f t="shared" si="107"/>
        <v>2000</v>
      </c>
      <c r="S277" s="603"/>
      <c r="T277" s="609">
        <v>2000</v>
      </c>
      <c r="U277" s="603"/>
      <c r="V277" s="603"/>
      <c r="W277" s="603"/>
      <c r="X277" s="621" t="s">
        <v>933</v>
      </c>
      <c r="Y277" s="573"/>
      <c r="Z277" s="573"/>
      <c r="AA277" s="599"/>
      <c r="AB277" s="599"/>
      <c r="AC277" s="599"/>
    </row>
    <row r="278" spans="1:29" s="574" customFormat="1" ht="59.25" customHeight="1">
      <c r="A278" s="630"/>
      <c r="B278" s="606" t="s">
        <v>1436</v>
      </c>
      <c r="C278" s="607" t="s">
        <v>897</v>
      </c>
      <c r="D278" s="603"/>
      <c r="E278" s="603"/>
      <c r="F278" s="608" t="s">
        <v>1437</v>
      </c>
      <c r="G278" s="609">
        <f t="shared" si="109"/>
        <v>8000</v>
      </c>
      <c r="H278" s="603"/>
      <c r="I278" s="609">
        <v>7500</v>
      </c>
      <c r="J278" s="609">
        <v>500</v>
      </c>
      <c r="K278" s="603"/>
      <c r="L278" s="609">
        <v>7500</v>
      </c>
      <c r="M278" s="603"/>
      <c r="N278" s="603"/>
      <c r="O278" s="629"/>
      <c r="P278" s="603"/>
      <c r="Q278" s="181">
        <f t="shared" si="107"/>
        <v>500</v>
      </c>
      <c r="R278" s="620">
        <v>500</v>
      </c>
      <c r="S278" s="603"/>
      <c r="T278" s="609"/>
      <c r="U278" s="603"/>
      <c r="V278" s="603"/>
      <c r="W278" s="603"/>
      <c r="X278" s="621" t="s">
        <v>933</v>
      </c>
      <c r="Y278" s="573"/>
      <c r="Z278" s="573"/>
      <c r="AA278" s="599"/>
      <c r="AB278" s="599"/>
      <c r="AC278" s="599"/>
    </row>
    <row r="279" spans="1:29" s="574" customFormat="1" ht="59.25" customHeight="1">
      <c r="A279" s="630"/>
      <c r="B279" s="606" t="s">
        <v>1438</v>
      </c>
      <c r="C279" s="607" t="s">
        <v>881</v>
      </c>
      <c r="D279" s="603"/>
      <c r="E279" s="603"/>
      <c r="F279" s="608" t="s">
        <v>1439</v>
      </c>
      <c r="G279" s="609">
        <f t="shared" si="109"/>
        <v>40000</v>
      </c>
      <c r="H279" s="603"/>
      <c r="I279" s="609">
        <v>37000</v>
      </c>
      <c r="J279" s="609">
        <v>3000</v>
      </c>
      <c r="K279" s="603"/>
      <c r="L279" s="609">
        <v>23600</v>
      </c>
      <c r="M279" s="603"/>
      <c r="N279" s="603"/>
      <c r="O279" s="629"/>
      <c r="P279" s="603"/>
      <c r="Q279" s="181">
        <f t="shared" si="107"/>
        <v>3000</v>
      </c>
      <c r="R279" s="181"/>
      <c r="S279" s="603"/>
      <c r="T279" s="609">
        <v>3000</v>
      </c>
      <c r="U279" s="603"/>
      <c r="V279" s="603"/>
      <c r="W279" s="603"/>
      <c r="X279" s="621" t="s">
        <v>933</v>
      </c>
      <c r="Y279" s="573"/>
      <c r="Z279" s="573"/>
      <c r="AA279" s="599"/>
      <c r="AB279" s="599"/>
      <c r="AC279" s="599"/>
    </row>
    <row r="280" spans="1:29" s="574" customFormat="1" ht="59.25" customHeight="1">
      <c r="A280" s="630"/>
      <c r="B280" s="606" t="s">
        <v>1440</v>
      </c>
      <c r="C280" s="607" t="s">
        <v>874</v>
      </c>
      <c r="D280" s="603"/>
      <c r="E280" s="603"/>
      <c r="F280" s="608" t="s">
        <v>1441</v>
      </c>
      <c r="G280" s="609">
        <f t="shared" si="109"/>
        <v>40000</v>
      </c>
      <c r="H280" s="603"/>
      <c r="I280" s="609">
        <v>37000</v>
      </c>
      <c r="J280" s="609">
        <v>3000</v>
      </c>
      <c r="K280" s="603"/>
      <c r="L280" s="609">
        <v>33900</v>
      </c>
      <c r="M280" s="603"/>
      <c r="N280" s="603"/>
      <c r="O280" s="629"/>
      <c r="P280" s="603"/>
      <c r="Q280" s="181">
        <f t="shared" si="107"/>
        <v>3000</v>
      </c>
      <c r="R280" s="181"/>
      <c r="S280" s="603"/>
      <c r="T280" s="609">
        <v>3000</v>
      </c>
      <c r="U280" s="603"/>
      <c r="V280" s="603"/>
      <c r="W280" s="603"/>
      <c r="X280" s="621" t="s">
        <v>933</v>
      </c>
      <c r="Y280" s="573"/>
      <c r="Z280" s="573"/>
      <c r="AA280" s="599"/>
      <c r="AB280" s="599"/>
      <c r="AC280" s="599"/>
    </row>
    <row r="281" spans="1:29" s="281" customFormat="1" ht="59.25" customHeight="1">
      <c r="A281" s="238"/>
      <c r="B281" s="606" t="s">
        <v>648</v>
      </c>
      <c r="C281" s="607" t="s">
        <v>896</v>
      </c>
      <c r="D281" s="254"/>
      <c r="E281" s="254"/>
      <c r="F281" s="608" t="s">
        <v>1442</v>
      </c>
      <c r="G281" s="609">
        <f t="shared" si="109"/>
        <v>220000</v>
      </c>
      <c r="H281" s="197"/>
      <c r="I281" s="197"/>
      <c r="J281" s="609">
        <v>220000</v>
      </c>
      <c r="K281" s="197"/>
      <c r="L281" s="609">
        <v>122444</v>
      </c>
      <c r="M281" s="197"/>
      <c r="N281" s="197"/>
      <c r="O281" s="609">
        <v>122444</v>
      </c>
      <c r="P281" s="197"/>
      <c r="Q281" s="181">
        <f t="shared" si="107"/>
        <v>70000</v>
      </c>
      <c r="R281" s="620">
        <v>20000</v>
      </c>
      <c r="S281" s="197"/>
      <c r="T281" s="609">
        <v>50000</v>
      </c>
      <c r="U281" s="197"/>
      <c r="V281" s="197"/>
      <c r="W281" s="197"/>
      <c r="X281" s="621" t="s">
        <v>933</v>
      </c>
      <c r="Y281" s="232"/>
      <c r="Z281" s="232"/>
      <c r="AA281" s="596"/>
      <c r="AB281" s="596"/>
      <c r="AC281" s="596"/>
    </row>
    <row r="282" spans="1:29" s="281" customFormat="1" ht="96" customHeight="1">
      <c r="A282" s="238"/>
      <c r="B282" s="606" t="s">
        <v>1443</v>
      </c>
      <c r="C282" s="607" t="s">
        <v>1444</v>
      </c>
      <c r="D282" s="254"/>
      <c r="E282" s="254"/>
      <c r="F282" s="608" t="s">
        <v>1445</v>
      </c>
      <c r="G282" s="609">
        <f t="shared" si="109"/>
        <v>20000</v>
      </c>
      <c r="H282" s="197"/>
      <c r="I282" s="197"/>
      <c r="J282" s="609">
        <v>20000</v>
      </c>
      <c r="K282" s="197"/>
      <c r="L282" s="609">
        <f>SUM(M282:P282)</f>
        <v>10600</v>
      </c>
      <c r="M282" s="197"/>
      <c r="N282" s="197"/>
      <c r="O282" s="609">
        <v>10600</v>
      </c>
      <c r="P282" s="197"/>
      <c r="Q282" s="181">
        <f t="shared" si="107"/>
        <v>9400</v>
      </c>
      <c r="R282" s="620">
        <v>4400</v>
      </c>
      <c r="S282" s="197"/>
      <c r="T282" s="609">
        <v>5000</v>
      </c>
      <c r="U282" s="197"/>
      <c r="V282" s="197"/>
      <c r="W282" s="197"/>
      <c r="X282" s="621" t="s">
        <v>933</v>
      </c>
      <c r="Y282" s="232"/>
      <c r="Z282" s="232"/>
      <c r="AA282" s="596"/>
      <c r="AB282" s="596"/>
      <c r="AC282" s="596"/>
    </row>
    <row r="283" spans="1:29" s="281" customFormat="1" ht="80.25" customHeight="1">
      <c r="A283" s="238"/>
      <c r="B283" s="606" t="s">
        <v>1446</v>
      </c>
      <c r="C283" s="607" t="s">
        <v>897</v>
      </c>
      <c r="D283" s="254"/>
      <c r="E283" s="254"/>
      <c r="F283" s="608" t="s">
        <v>1447</v>
      </c>
      <c r="G283" s="609">
        <f t="shared" si="109"/>
        <v>6000</v>
      </c>
      <c r="H283" s="197"/>
      <c r="I283" s="197"/>
      <c r="J283" s="609">
        <v>6000</v>
      </c>
      <c r="K283" s="197"/>
      <c r="L283" s="609">
        <f t="shared" ref="L283:L340" si="110">SUM(M283:P283)</f>
        <v>1710</v>
      </c>
      <c r="M283" s="197"/>
      <c r="N283" s="197"/>
      <c r="O283" s="609">
        <v>1710</v>
      </c>
      <c r="P283" s="197"/>
      <c r="Q283" s="181">
        <f t="shared" si="107"/>
        <v>4290</v>
      </c>
      <c r="R283" s="620"/>
      <c r="S283" s="197"/>
      <c r="T283" s="609">
        <v>4290</v>
      </c>
      <c r="U283" s="197"/>
      <c r="V283" s="197"/>
      <c r="W283" s="197"/>
      <c r="X283" s="621" t="s">
        <v>933</v>
      </c>
      <c r="Y283" s="232"/>
      <c r="Z283" s="232"/>
      <c r="AA283" s="596"/>
      <c r="AB283" s="596"/>
      <c r="AC283" s="596"/>
    </row>
    <row r="284" spans="1:29" s="281" customFormat="1" ht="95.25" customHeight="1">
      <c r="A284" s="238"/>
      <c r="B284" s="672" t="s">
        <v>1448</v>
      </c>
      <c r="C284" s="673" t="s">
        <v>893</v>
      </c>
      <c r="D284" s="254"/>
      <c r="E284" s="254"/>
      <c r="F284" s="608" t="s">
        <v>1449</v>
      </c>
      <c r="G284" s="609">
        <f t="shared" si="109"/>
        <v>14000</v>
      </c>
      <c r="H284" s="197"/>
      <c r="I284" s="197"/>
      <c r="J284" s="609">
        <v>14000</v>
      </c>
      <c r="K284" s="197"/>
      <c r="L284" s="609">
        <f t="shared" si="110"/>
        <v>10500</v>
      </c>
      <c r="M284" s="197"/>
      <c r="N284" s="197"/>
      <c r="O284" s="609">
        <v>10500</v>
      </c>
      <c r="P284" s="197"/>
      <c r="Q284" s="181">
        <f t="shared" si="107"/>
        <v>3500</v>
      </c>
      <c r="R284" s="620"/>
      <c r="S284" s="197"/>
      <c r="T284" s="609">
        <v>3500</v>
      </c>
      <c r="U284" s="197"/>
      <c r="V284" s="197"/>
      <c r="W284" s="197"/>
      <c r="X284" s="621" t="s">
        <v>933</v>
      </c>
      <c r="Y284" s="232"/>
      <c r="Z284" s="232"/>
      <c r="AA284" s="596"/>
      <c r="AB284" s="596"/>
      <c r="AC284" s="596"/>
    </row>
    <row r="285" spans="1:29" s="281" customFormat="1" ht="59.25" customHeight="1">
      <c r="A285" s="238"/>
      <c r="B285" s="672" t="s">
        <v>1450</v>
      </c>
      <c r="C285" s="607" t="s">
        <v>1451</v>
      </c>
      <c r="D285" s="254"/>
      <c r="E285" s="254"/>
      <c r="F285" s="608" t="s">
        <v>1452</v>
      </c>
      <c r="G285" s="609">
        <f t="shared" si="109"/>
        <v>5500</v>
      </c>
      <c r="H285" s="197"/>
      <c r="I285" s="197"/>
      <c r="J285" s="609">
        <v>5500</v>
      </c>
      <c r="K285" s="197"/>
      <c r="L285" s="609">
        <f t="shared" si="110"/>
        <v>4000</v>
      </c>
      <c r="M285" s="197"/>
      <c r="N285" s="197"/>
      <c r="O285" s="609">
        <v>4000</v>
      </c>
      <c r="P285" s="197"/>
      <c r="Q285" s="181">
        <f t="shared" si="107"/>
        <v>1500</v>
      </c>
      <c r="R285" s="620"/>
      <c r="S285" s="197"/>
      <c r="T285" s="609">
        <v>1500</v>
      </c>
      <c r="U285" s="197"/>
      <c r="V285" s="197"/>
      <c r="W285" s="197"/>
      <c r="X285" s="621" t="s">
        <v>933</v>
      </c>
      <c r="Y285" s="232"/>
      <c r="Z285" s="232"/>
      <c r="AA285" s="596"/>
      <c r="AB285" s="596"/>
      <c r="AC285" s="596"/>
    </row>
    <row r="286" spans="1:29" s="281" customFormat="1" ht="59.25" customHeight="1">
      <c r="A286" s="238"/>
      <c r="B286" s="672" t="s">
        <v>1453</v>
      </c>
      <c r="C286" s="607" t="s">
        <v>1451</v>
      </c>
      <c r="D286" s="254"/>
      <c r="E286" s="254"/>
      <c r="F286" s="608" t="s">
        <v>1454</v>
      </c>
      <c r="G286" s="609">
        <f t="shared" si="109"/>
        <v>4000</v>
      </c>
      <c r="H286" s="197"/>
      <c r="I286" s="197"/>
      <c r="J286" s="609">
        <v>4000</v>
      </c>
      <c r="K286" s="197"/>
      <c r="L286" s="609">
        <f t="shared" si="110"/>
        <v>2100</v>
      </c>
      <c r="M286" s="197"/>
      <c r="N286" s="197"/>
      <c r="O286" s="609">
        <v>2100</v>
      </c>
      <c r="P286" s="197"/>
      <c r="Q286" s="181">
        <f t="shared" si="107"/>
        <v>1900</v>
      </c>
      <c r="R286" s="620"/>
      <c r="S286" s="197"/>
      <c r="T286" s="609">
        <v>1900</v>
      </c>
      <c r="U286" s="197"/>
      <c r="V286" s="197"/>
      <c r="W286" s="197"/>
      <c r="X286" s="621" t="s">
        <v>933</v>
      </c>
      <c r="Y286" s="232"/>
      <c r="Z286" s="232"/>
      <c r="AA286" s="596"/>
      <c r="AB286" s="596"/>
      <c r="AC286" s="596"/>
    </row>
    <row r="287" spans="1:29" s="281" customFormat="1" ht="72.75" customHeight="1">
      <c r="A287" s="238"/>
      <c r="B287" s="672" t="s">
        <v>1455</v>
      </c>
      <c r="C287" s="607" t="s">
        <v>1451</v>
      </c>
      <c r="D287" s="254"/>
      <c r="E287" s="254"/>
      <c r="F287" s="608" t="s">
        <v>1456</v>
      </c>
      <c r="G287" s="609">
        <f t="shared" si="109"/>
        <v>5000</v>
      </c>
      <c r="H287" s="197"/>
      <c r="I287" s="197"/>
      <c r="J287" s="609">
        <v>5000</v>
      </c>
      <c r="K287" s="197"/>
      <c r="L287" s="609">
        <f t="shared" si="110"/>
        <v>2500</v>
      </c>
      <c r="M287" s="197"/>
      <c r="N287" s="197"/>
      <c r="O287" s="609">
        <v>2500</v>
      </c>
      <c r="P287" s="197"/>
      <c r="Q287" s="181">
        <f t="shared" ref="Q287:Q289" si="111">SUM(R287:W287)</f>
        <v>2500</v>
      </c>
      <c r="R287" s="620"/>
      <c r="S287" s="197"/>
      <c r="T287" s="609">
        <v>2500</v>
      </c>
      <c r="U287" s="197"/>
      <c r="V287" s="197"/>
      <c r="W287" s="197"/>
      <c r="X287" s="621" t="s">
        <v>933</v>
      </c>
      <c r="Y287" s="232"/>
      <c r="Z287" s="232"/>
      <c r="AA287" s="596"/>
      <c r="AB287" s="596"/>
      <c r="AC287" s="596"/>
    </row>
    <row r="288" spans="1:29" s="281" customFormat="1" ht="81" customHeight="1">
      <c r="A288" s="238"/>
      <c r="B288" s="672" t="s">
        <v>1457</v>
      </c>
      <c r="C288" s="607" t="s">
        <v>900</v>
      </c>
      <c r="D288" s="254"/>
      <c r="E288" s="254"/>
      <c r="F288" s="608" t="s">
        <v>1458</v>
      </c>
      <c r="G288" s="609">
        <f t="shared" si="109"/>
        <v>5000</v>
      </c>
      <c r="H288" s="197"/>
      <c r="I288" s="197"/>
      <c r="J288" s="609">
        <v>5000</v>
      </c>
      <c r="K288" s="197"/>
      <c r="L288" s="609">
        <f t="shared" si="110"/>
        <v>3800</v>
      </c>
      <c r="M288" s="197"/>
      <c r="N288" s="197"/>
      <c r="O288" s="609">
        <v>3800</v>
      </c>
      <c r="P288" s="197"/>
      <c r="Q288" s="181">
        <f t="shared" si="111"/>
        <v>1200</v>
      </c>
      <c r="R288" s="620"/>
      <c r="S288" s="197"/>
      <c r="T288" s="609">
        <v>1200</v>
      </c>
      <c r="U288" s="197"/>
      <c r="V288" s="197"/>
      <c r="W288" s="197"/>
      <c r="X288" s="621" t="s">
        <v>933</v>
      </c>
      <c r="Y288" s="232"/>
      <c r="Z288" s="232"/>
      <c r="AA288" s="596"/>
      <c r="AB288" s="596"/>
      <c r="AC288" s="596"/>
    </row>
    <row r="289" spans="1:29" s="281" customFormat="1" ht="83.25" customHeight="1">
      <c r="A289" s="238"/>
      <c r="B289" s="672" t="s">
        <v>1459</v>
      </c>
      <c r="C289" s="607" t="s">
        <v>900</v>
      </c>
      <c r="D289" s="254"/>
      <c r="E289" s="254"/>
      <c r="F289" s="608" t="s">
        <v>1460</v>
      </c>
      <c r="G289" s="609">
        <f t="shared" si="109"/>
        <v>6000</v>
      </c>
      <c r="H289" s="197"/>
      <c r="I289" s="197"/>
      <c r="J289" s="609">
        <v>6000</v>
      </c>
      <c r="K289" s="197"/>
      <c r="L289" s="609">
        <f t="shared" si="110"/>
        <v>3500</v>
      </c>
      <c r="M289" s="197"/>
      <c r="N289" s="197"/>
      <c r="O289" s="609">
        <v>3500</v>
      </c>
      <c r="P289" s="197"/>
      <c r="Q289" s="181">
        <f t="shared" si="111"/>
        <v>2500</v>
      </c>
      <c r="R289" s="620"/>
      <c r="S289" s="197"/>
      <c r="T289" s="609">
        <v>2500</v>
      </c>
      <c r="U289" s="197"/>
      <c r="V289" s="197"/>
      <c r="W289" s="197"/>
      <c r="X289" s="621" t="s">
        <v>933</v>
      </c>
      <c r="Y289" s="232"/>
      <c r="Z289" s="232"/>
      <c r="AA289" s="596"/>
      <c r="AB289" s="596"/>
      <c r="AC289" s="596"/>
    </row>
    <row r="290" spans="1:29" s="281" customFormat="1" ht="83.25" customHeight="1">
      <c r="A290" s="238"/>
      <c r="B290" s="672" t="s">
        <v>1461</v>
      </c>
      <c r="C290" s="607" t="s">
        <v>900</v>
      </c>
      <c r="D290" s="254"/>
      <c r="E290" s="254"/>
      <c r="F290" s="608" t="s">
        <v>1462</v>
      </c>
      <c r="G290" s="609">
        <f t="shared" si="109"/>
        <v>6000</v>
      </c>
      <c r="H290" s="197"/>
      <c r="I290" s="197"/>
      <c r="J290" s="609">
        <v>6000</v>
      </c>
      <c r="K290" s="197"/>
      <c r="L290" s="609">
        <f t="shared" si="110"/>
        <v>3750</v>
      </c>
      <c r="M290" s="197"/>
      <c r="N290" s="197"/>
      <c r="O290" s="609">
        <v>3750</v>
      </c>
      <c r="P290" s="197"/>
      <c r="Q290" s="181">
        <f>SUM(R290:W290)</f>
        <v>2250</v>
      </c>
      <c r="R290" s="620"/>
      <c r="S290" s="197"/>
      <c r="T290" s="609">
        <v>2250</v>
      </c>
      <c r="U290" s="197"/>
      <c r="V290" s="197"/>
      <c r="W290" s="197"/>
      <c r="X290" s="621" t="s">
        <v>933</v>
      </c>
      <c r="Y290" s="232"/>
      <c r="Z290" s="232"/>
      <c r="AA290" s="596"/>
      <c r="AB290" s="596"/>
      <c r="AC290" s="596"/>
    </row>
    <row r="291" spans="1:29" s="281" customFormat="1" ht="83.25" customHeight="1">
      <c r="A291" s="238"/>
      <c r="B291" s="606" t="s">
        <v>416</v>
      </c>
      <c r="C291" s="607" t="s">
        <v>896</v>
      </c>
      <c r="D291" s="254"/>
      <c r="E291" s="254"/>
      <c r="F291" s="608" t="s">
        <v>755</v>
      </c>
      <c r="G291" s="609">
        <f t="shared" si="109"/>
        <v>55000</v>
      </c>
      <c r="H291" s="197"/>
      <c r="I291" s="197"/>
      <c r="J291" s="609">
        <v>55000</v>
      </c>
      <c r="K291" s="197"/>
      <c r="L291" s="609">
        <f t="shared" si="110"/>
        <v>26182</v>
      </c>
      <c r="M291" s="197"/>
      <c r="N291" s="197"/>
      <c r="O291" s="609">
        <v>26182</v>
      </c>
      <c r="P291" s="197"/>
      <c r="Q291" s="181">
        <f t="shared" ref="Q291:Q314" si="112">SUM(R291:W291)</f>
        <v>25000</v>
      </c>
      <c r="R291" s="620">
        <v>10000</v>
      </c>
      <c r="S291" s="197"/>
      <c r="T291" s="609">
        <v>15000</v>
      </c>
      <c r="U291" s="197"/>
      <c r="V291" s="197"/>
      <c r="W291" s="197"/>
      <c r="X291" s="621" t="s">
        <v>933</v>
      </c>
      <c r="Y291" s="232"/>
      <c r="Z291" s="232"/>
      <c r="AA291" s="596"/>
      <c r="AB291" s="596"/>
      <c r="AC291" s="596"/>
    </row>
    <row r="292" spans="1:29" s="281" customFormat="1" ht="83.25" customHeight="1">
      <c r="A292" s="238"/>
      <c r="B292" s="606" t="s">
        <v>417</v>
      </c>
      <c r="C292" s="607" t="s">
        <v>894</v>
      </c>
      <c r="D292" s="254"/>
      <c r="E292" s="254"/>
      <c r="F292" s="608" t="s">
        <v>464</v>
      </c>
      <c r="G292" s="609">
        <f t="shared" si="109"/>
        <v>75000</v>
      </c>
      <c r="H292" s="197"/>
      <c r="I292" s="197"/>
      <c r="J292" s="609">
        <v>75000</v>
      </c>
      <c r="K292" s="197"/>
      <c r="L292" s="609">
        <f t="shared" si="110"/>
        <v>41102</v>
      </c>
      <c r="M292" s="197"/>
      <c r="N292" s="197"/>
      <c r="O292" s="609">
        <v>41102</v>
      </c>
      <c r="P292" s="197"/>
      <c r="Q292" s="181">
        <f t="shared" si="112"/>
        <v>30000</v>
      </c>
      <c r="R292" s="620">
        <v>10000</v>
      </c>
      <c r="S292" s="197"/>
      <c r="T292" s="609">
        <v>20000</v>
      </c>
      <c r="U292" s="197"/>
      <c r="V292" s="197"/>
      <c r="W292" s="197"/>
      <c r="X292" s="621" t="s">
        <v>933</v>
      </c>
      <c r="Y292" s="232"/>
      <c r="Z292" s="232"/>
      <c r="AA292" s="596"/>
      <c r="AB292" s="596"/>
      <c r="AC292" s="596"/>
    </row>
    <row r="293" spans="1:29" s="281" customFormat="1" ht="83.25" customHeight="1">
      <c r="A293" s="238"/>
      <c r="B293" s="606" t="s">
        <v>1463</v>
      </c>
      <c r="C293" s="607" t="s">
        <v>896</v>
      </c>
      <c r="D293" s="254"/>
      <c r="E293" s="254"/>
      <c r="F293" s="608" t="s">
        <v>1464</v>
      </c>
      <c r="G293" s="609">
        <f t="shared" si="109"/>
        <v>97000</v>
      </c>
      <c r="H293" s="197"/>
      <c r="I293" s="197"/>
      <c r="J293" s="609">
        <v>97000</v>
      </c>
      <c r="K293" s="197"/>
      <c r="L293" s="609">
        <f t="shared" si="110"/>
        <v>50860</v>
      </c>
      <c r="M293" s="197"/>
      <c r="N293" s="197"/>
      <c r="O293" s="609">
        <v>50860</v>
      </c>
      <c r="P293" s="197"/>
      <c r="Q293" s="181">
        <f t="shared" si="112"/>
        <v>40000</v>
      </c>
      <c r="R293" s="620">
        <v>15000</v>
      </c>
      <c r="S293" s="197"/>
      <c r="T293" s="609">
        <v>25000</v>
      </c>
      <c r="U293" s="197"/>
      <c r="V293" s="197"/>
      <c r="W293" s="197"/>
      <c r="X293" s="621" t="s">
        <v>933</v>
      </c>
      <c r="Y293" s="232"/>
      <c r="Z293" s="232"/>
      <c r="AA293" s="596"/>
      <c r="AB293" s="596"/>
      <c r="AC293" s="596"/>
    </row>
    <row r="294" spans="1:29" s="281" customFormat="1" ht="67.5" customHeight="1">
      <c r="A294" s="238"/>
      <c r="B294" s="606" t="s">
        <v>736</v>
      </c>
      <c r="C294" s="607" t="s">
        <v>878</v>
      </c>
      <c r="D294" s="254"/>
      <c r="E294" s="254"/>
      <c r="F294" s="608" t="s">
        <v>1465</v>
      </c>
      <c r="G294" s="609">
        <f t="shared" si="109"/>
        <v>50000</v>
      </c>
      <c r="H294" s="197"/>
      <c r="I294" s="197"/>
      <c r="J294" s="609">
        <v>50000</v>
      </c>
      <c r="K294" s="197"/>
      <c r="L294" s="609">
        <f t="shared" si="110"/>
        <v>43800</v>
      </c>
      <c r="M294" s="197"/>
      <c r="N294" s="197"/>
      <c r="O294" s="609">
        <v>43800</v>
      </c>
      <c r="P294" s="197"/>
      <c r="Q294" s="181">
        <f t="shared" si="112"/>
        <v>5000</v>
      </c>
      <c r="R294" s="620"/>
      <c r="S294" s="197"/>
      <c r="T294" s="609">
        <v>5000</v>
      </c>
      <c r="U294" s="197"/>
      <c r="V294" s="197"/>
      <c r="W294" s="197"/>
      <c r="X294" s="621" t="s">
        <v>933</v>
      </c>
      <c r="Y294" s="232"/>
      <c r="Z294" s="232"/>
      <c r="AA294" s="596"/>
      <c r="AB294" s="596"/>
      <c r="AC294" s="596"/>
    </row>
    <row r="295" spans="1:29" s="281" customFormat="1" ht="67.5" customHeight="1">
      <c r="A295" s="238"/>
      <c r="B295" s="606" t="s">
        <v>1466</v>
      </c>
      <c r="C295" s="607" t="s">
        <v>895</v>
      </c>
      <c r="D295" s="254"/>
      <c r="E295" s="254"/>
      <c r="F295" s="608" t="s">
        <v>1467</v>
      </c>
      <c r="G295" s="609">
        <f t="shared" si="109"/>
        <v>19000</v>
      </c>
      <c r="H295" s="197"/>
      <c r="I295" s="197"/>
      <c r="J295" s="609">
        <v>19000</v>
      </c>
      <c r="K295" s="197"/>
      <c r="L295" s="609">
        <f t="shared" si="110"/>
        <v>13328</v>
      </c>
      <c r="M295" s="197"/>
      <c r="N295" s="197"/>
      <c r="O295" s="609">
        <v>13328</v>
      </c>
      <c r="P295" s="197"/>
      <c r="Q295" s="181">
        <f t="shared" si="112"/>
        <v>4000</v>
      </c>
      <c r="R295" s="620"/>
      <c r="S295" s="197"/>
      <c r="T295" s="609">
        <v>4000</v>
      </c>
      <c r="U295" s="197"/>
      <c r="V295" s="197"/>
      <c r="W295" s="197"/>
      <c r="X295" s="621" t="s">
        <v>933</v>
      </c>
      <c r="Y295" s="232"/>
      <c r="Z295" s="232"/>
      <c r="AA295" s="596"/>
      <c r="AB295" s="596"/>
      <c r="AC295" s="596"/>
    </row>
    <row r="296" spans="1:29" s="281" customFormat="1" ht="67.5" customHeight="1">
      <c r="A296" s="238"/>
      <c r="B296" s="606" t="s">
        <v>1468</v>
      </c>
      <c r="C296" s="607" t="s">
        <v>897</v>
      </c>
      <c r="D296" s="254"/>
      <c r="E296" s="254"/>
      <c r="F296" s="608" t="s">
        <v>1469</v>
      </c>
      <c r="G296" s="609">
        <f t="shared" si="109"/>
        <v>7300</v>
      </c>
      <c r="H296" s="197"/>
      <c r="I296" s="197"/>
      <c r="J296" s="609">
        <v>7300</v>
      </c>
      <c r="K296" s="197"/>
      <c r="L296" s="609">
        <f t="shared" si="110"/>
        <v>4500</v>
      </c>
      <c r="M296" s="197"/>
      <c r="N296" s="197"/>
      <c r="O296" s="609">
        <v>4500</v>
      </c>
      <c r="P296" s="197"/>
      <c r="Q296" s="181">
        <f t="shared" si="112"/>
        <v>2500</v>
      </c>
      <c r="R296" s="620"/>
      <c r="S296" s="197"/>
      <c r="T296" s="609">
        <v>2500</v>
      </c>
      <c r="U296" s="197"/>
      <c r="V296" s="197"/>
      <c r="W296" s="197"/>
      <c r="X296" s="621" t="s">
        <v>933</v>
      </c>
      <c r="Y296" s="232"/>
      <c r="Z296" s="232"/>
      <c r="AA296" s="596"/>
      <c r="AB296" s="596"/>
      <c r="AC296" s="596"/>
    </row>
    <row r="297" spans="1:29" s="281" customFormat="1" ht="67.5" customHeight="1">
      <c r="A297" s="238"/>
      <c r="B297" s="606" t="s">
        <v>1470</v>
      </c>
      <c r="C297" s="607" t="s">
        <v>901</v>
      </c>
      <c r="D297" s="254"/>
      <c r="E297" s="254"/>
      <c r="F297" s="608" t="s">
        <v>1471</v>
      </c>
      <c r="G297" s="609">
        <f t="shared" si="109"/>
        <v>15000</v>
      </c>
      <c r="H297" s="197"/>
      <c r="I297" s="197"/>
      <c r="J297" s="609">
        <v>15000</v>
      </c>
      <c r="K297" s="197"/>
      <c r="L297" s="609">
        <f t="shared" si="110"/>
        <v>6360</v>
      </c>
      <c r="M297" s="197"/>
      <c r="N297" s="197"/>
      <c r="O297" s="609">
        <v>6360</v>
      </c>
      <c r="P297" s="197"/>
      <c r="Q297" s="181">
        <f t="shared" si="112"/>
        <v>8000</v>
      </c>
      <c r="R297" s="620"/>
      <c r="S297" s="197"/>
      <c r="T297" s="609">
        <v>8000</v>
      </c>
      <c r="U297" s="197"/>
      <c r="V297" s="197"/>
      <c r="W297" s="197"/>
      <c r="X297" s="621" t="s">
        <v>933</v>
      </c>
      <c r="Y297" s="232"/>
      <c r="Z297" s="232"/>
      <c r="AA297" s="596"/>
      <c r="AB297" s="596"/>
      <c r="AC297" s="596"/>
    </row>
    <row r="298" spans="1:29" s="281" customFormat="1" ht="67.5" customHeight="1">
      <c r="A298" s="238"/>
      <c r="B298" s="606" t="s">
        <v>1472</v>
      </c>
      <c r="C298" s="607" t="s">
        <v>879</v>
      </c>
      <c r="D298" s="254"/>
      <c r="E298" s="254"/>
      <c r="F298" s="608" t="s">
        <v>1473</v>
      </c>
      <c r="G298" s="609">
        <f t="shared" si="109"/>
        <v>50000</v>
      </c>
      <c r="H298" s="197"/>
      <c r="I298" s="197"/>
      <c r="J298" s="609">
        <v>50000</v>
      </c>
      <c r="K298" s="197"/>
      <c r="L298" s="609">
        <f t="shared" si="110"/>
        <v>18000</v>
      </c>
      <c r="M298" s="197"/>
      <c r="N298" s="197"/>
      <c r="O298" s="609">
        <v>18000</v>
      </c>
      <c r="P298" s="197"/>
      <c r="Q298" s="181">
        <f t="shared" si="112"/>
        <v>30000</v>
      </c>
      <c r="R298" s="620">
        <v>5000</v>
      </c>
      <c r="S298" s="197"/>
      <c r="T298" s="609">
        <v>25000</v>
      </c>
      <c r="U298" s="197"/>
      <c r="V298" s="197"/>
      <c r="W298" s="197"/>
      <c r="X298" s="621" t="s">
        <v>933</v>
      </c>
      <c r="Y298" s="232"/>
      <c r="Z298" s="232"/>
      <c r="AA298" s="596"/>
      <c r="AB298" s="596"/>
      <c r="AC298" s="596"/>
    </row>
    <row r="299" spans="1:29" s="281" customFormat="1" ht="83.25" customHeight="1">
      <c r="A299" s="238"/>
      <c r="B299" s="606" t="s">
        <v>1474</v>
      </c>
      <c r="C299" s="607" t="s">
        <v>1475</v>
      </c>
      <c r="D299" s="254"/>
      <c r="E299" s="254"/>
      <c r="F299" s="608" t="s">
        <v>1476</v>
      </c>
      <c r="G299" s="609">
        <f t="shared" si="109"/>
        <v>2423</v>
      </c>
      <c r="H299" s="197"/>
      <c r="I299" s="197"/>
      <c r="J299" s="609">
        <v>2423</v>
      </c>
      <c r="K299" s="197"/>
      <c r="L299" s="609">
        <f t="shared" si="110"/>
        <v>0</v>
      </c>
      <c r="M299" s="197"/>
      <c r="N299" s="197"/>
      <c r="O299" s="609"/>
      <c r="P299" s="197"/>
      <c r="Q299" s="181">
        <f t="shared" si="112"/>
        <v>1700</v>
      </c>
      <c r="R299" s="620">
        <v>1700</v>
      </c>
      <c r="S299" s="197"/>
      <c r="T299" s="609"/>
      <c r="U299" s="197"/>
      <c r="V299" s="197"/>
      <c r="W299" s="197"/>
      <c r="X299" s="621" t="s">
        <v>933</v>
      </c>
      <c r="Y299" s="232"/>
      <c r="Z299" s="232"/>
      <c r="AA299" s="596"/>
      <c r="AB299" s="596"/>
      <c r="AC299" s="596"/>
    </row>
    <row r="300" spans="1:29" s="281" customFormat="1" ht="83.25" customHeight="1">
      <c r="A300" s="238"/>
      <c r="B300" s="654" t="s">
        <v>1477</v>
      </c>
      <c r="C300" s="651" t="s">
        <v>1478</v>
      </c>
      <c r="D300" s="254"/>
      <c r="E300" s="254"/>
      <c r="F300" s="651" t="s">
        <v>1479</v>
      </c>
      <c r="G300" s="609">
        <f t="shared" si="109"/>
        <v>17240</v>
      </c>
      <c r="H300" s="197"/>
      <c r="I300" s="197"/>
      <c r="J300" s="655">
        <v>17240</v>
      </c>
      <c r="K300" s="197"/>
      <c r="L300" s="609">
        <f t="shared" si="110"/>
        <v>15633.8</v>
      </c>
      <c r="M300" s="197"/>
      <c r="N300" s="197"/>
      <c r="O300" s="655">
        <v>15633.8</v>
      </c>
      <c r="P300" s="197"/>
      <c r="Q300" s="181">
        <f t="shared" si="112"/>
        <v>1606.2000000000007</v>
      </c>
      <c r="R300" s="620"/>
      <c r="S300" s="197"/>
      <c r="T300" s="655">
        <v>1606.2000000000007</v>
      </c>
      <c r="U300" s="197"/>
      <c r="V300" s="197"/>
      <c r="W300" s="197"/>
      <c r="X300" s="621" t="s">
        <v>933</v>
      </c>
      <c r="Y300" s="232"/>
      <c r="Z300" s="232"/>
      <c r="AA300" s="596" t="s">
        <v>1176</v>
      </c>
      <c r="AB300" s="596"/>
      <c r="AC300" s="596"/>
    </row>
    <row r="301" spans="1:29" s="281" customFormat="1" ht="83.25" customHeight="1">
      <c r="A301" s="238"/>
      <c r="B301" s="654" t="s">
        <v>1480</v>
      </c>
      <c r="C301" s="651" t="s">
        <v>1478</v>
      </c>
      <c r="D301" s="254"/>
      <c r="E301" s="254"/>
      <c r="F301" s="651" t="s">
        <v>1481</v>
      </c>
      <c r="G301" s="609">
        <f t="shared" si="109"/>
        <v>13031.2</v>
      </c>
      <c r="H301" s="197"/>
      <c r="I301" s="197"/>
      <c r="J301" s="655">
        <v>13031.2</v>
      </c>
      <c r="K301" s="197"/>
      <c r="L301" s="609">
        <f t="shared" si="110"/>
        <v>12185.4</v>
      </c>
      <c r="M301" s="197"/>
      <c r="N301" s="197"/>
      <c r="O301" s="655">
        <v>12185.4</v>
      </c>
      <c r="P301" s="197"/>
      <c r="Q301" s="181">
        <f t="shared" si="112"/>
        <v>845.80000000000018</v>
      </c>
      <c r="R301" s="620"/>
      <c r="S301" s="197"/>
      <c r="T301" s="655">
        <v>845.80000000000018</v>
      </c>
      <c r="U301" s="197"/>
      <c r="V301" s="197"/>
      <c r="W301" s="197"/>
      <c r="X301" s="621" t="s">
        <v>933</v>
      </c>
      <c r="Y301" s="232"/>
      <c r="Z301" s="232"/>
      <c r="AA301" s="596" t="s">
        <v>1176</v>
      </c>
      <c r="AB301" s="596"/>
      <c r="AC301" s="596"/>
    </row>
    <row r="302" spans="1:29" s="281" customFormat="1" ht="83.25" customHeight="1">
      <c r="A302" s="238"/>
      <c r="B302" s="654" t="s">
        <v>1482</v>
      </c>
      <c r="C302" s="651" t="s">
        <v>1483</v>
      </c>
      <c r="D302" s="254"/>
      <c r="E302" s="254"/>
      <c r="F302" s="651" t="s">
        <v>1484</v>
      </c>
      <c r="G302" s="609">
        <f t="shared" si="109"/>
        <v>6000</v>
      </c>
      <c r="H302" s="197"/>
      <c r="I302" s="197"/>
      <c r="J302" s="655">
        <v>6000</v>
      </c>
      <c r="K302" s="197"/>
      <c r="L302" s="609">
        <f t="shared" si="110"/>
        <v>3102.6</v>
      </c>
      <c r="M302" s="197"/>
      <c r="N302" s="197"/>
      <c r="O302" s="655">
        <v>3102.6</v>
      </c>
      <c r="P302" s="197"/>
      <c r="Q302" s="181">
        <f t="shared" si="112"/>
        <v>2897.3999999999996</v>
      </c>
      <c r="R302" s="620"/>
      <c r="S302" s="197"/>
      <c r="T302" s="655">
        <v>2897.3999999999996</v>
      </c>
      <c r="U302" s="197"/>
      <c r="V302" s="197"/>
      <c r="W302" s="197"/>
      <c r="X302" s="621" t="s">
        <v>933</v>
      </c>
      <c r="Y302" s="232"/>
      <c r="Z302" s="232"/>
      <c r="AA302" s="596" t="s">
        <v>1176</v>
      </c>
      <c r="AB302" s="596"/>
      <c r="AC302" s="596"/>
    </row>
    <row r="303" spans="1:29" s="281" customFormat="1" ht="83.25" customHeight="1">
      <c r="A303" s="238"/>
      <c r="B303" s="654" t="s">
        <v>1485</v>
      </c>
      <c r="C303" s="651" t="s">
        <v>1430</v>
      </c>
      <c r="D303" s="254"/>
      <c r="E303" s="254"/>
      <c r="F303" s="651" t="s">
        <v>1486</v>
      </c>
      <c r="G303" s="609">
        <f t="shared" si="109"/>
        <v>70000</v>
      </c>
      <c r="H303" s="197"/>
      <c r="I303" s="197"/>
      <c r="J303" s="655">
        <v>70000</v>
      </c>
      <c r="K303" s="197"/>
      <c r="L303" s="609">
        <f t="shared" si="110"/>
        <v>52614</v>
      </c>
      <c r="M303" s="197"/>
      <c r="N303" s="197"/>
      <c r="O303" s="655">
        <v>52614</v>
      </c>
      <c r="P303" s="197"/>
      <c r="Q303" s="181">
        <f t="shared" si="112"/>
        <v>17386</v>
      </c>
      <c r="R303" s="620"/>
      <c r="S303" s="197"/>
      <c r="T303" s="655">
        <v>17386</v>
      </c>
      <c r="U303" s="197"/>
      <c r="V303" s="197"/>
      <c r="W303" s="197"/>
      <c r="X303" s="621" t="s">
        <v>933</v>
      </c>
      <c r="Y303" s="232"/>
      <c r="Z303" s="232"/>
      <c r="AA303" s="596" t="s">
        <v>1176</v>
      </c>
      <c r="AB303" s="596"/>
      <c r="AC303" s="596"/>
    </row>
    <row r="304" spans="1:29" s="281" customFormat="1" ht="83.25" customHeight="1">
      <c r="A304" s="238"/>
      <c r="B304" s="654" t="s">
        <v>1487</v>
      </c>
      <c r="C304" s="651" t="s">
        <v>1430</v>
      </c>
      <c r="D304" s="254"/>
      <c r="E304" s="254"/>
      <c r="F304" s="651" t="s">
        <v>1488</v>
      </c>
      <c r="G304" s="609">
        <f t="shared" si="109"/>
        <v>79000</v>
      </c>
      <c r="H304" s="197"/>
      <c r="I304" s="197"/>
      <c r="J304" s="655">
        <v>79000</v>
      </c>
      <c r="K304" s="197"/>
      <c r="L304" s="609">
        <f t="shared" si="110"/>
        <v>44864</v>
      </c>
      <c r="M304" s="197"/>
      <c r="N304" s="197"/>
      <c r="O304" s="655">
        <v>44864</v>
      </c>
      <c r="P304" s="197"/>
      <c r="Q304" s="181">
        <f t="shared" si="112"/>
        <v>34136</v>
      </c>
      <c r="R304" s="620"/>
      <c r="S304" s="197"/>
      <c r="T304" s="655">
        <v>34136</v>
      </c>
      <c r="U304" s="197"/>
      <c r="V304" s="197"/>
      <c r="W304" s="197"/>
      <c r="X304" s="621" t="s">
        <v>933</v>
      </c>
      <c r="Y304" s="232"/>
      <c r="Z304" s="232"/>
      <c r="AA304" s="596" t="s">
        <v>1176</v>
      </c>
      <c r="AB304" s="596"/>
      <c r="AC304" s="596"/>
    </row>
    <row r="305" spans="1:29" s="281" customFormat="1" ht="83.25" customHeight="1">
      <c r="A305" s="238"/>
      <c r="B305" s="654" t="s">
        <v>1489</v>
      </c>
      <c r="C305" s="651" t="s">
        <v>1252</v>
      </c>
      <c r="D305" s="254"/>
      <c r="E305" s="254"/>
      <c r="F305" s="651" t="s">
        <v>1490</v>
      </c>
      <c r="G305" s="609">
        <f t="shared" si="109"/>
        <v>19500</v>
      </c>
      <c r="H305" s="197"/>
      <c r="I305" s="197"/>
      <c r="J305" s="655">
        <v>19500</v>
      </c>
      <c r="K305" s="197"/>
      <c r="L305" s="609">
        <f t="shared" si="110"/>
        <v>14931</v>
      </c>
      <c r="M305" s="197"/>
      <c r="N305" s="197"/>
      <c r="O305" s="655">
        <v>14931</v>
      </c>
      <c r="P305" s="197"/>
      <c r="Q305" s="181">
        <f t="shared" si="112"/>
        <v>4569</v>
      </c>
      <c r="R305" s="620"/>
      <c r="S305" s="197"/>
      <c r="T305" s="655">
        <v>4569</v>
      </c>
      <c r="U305" s="197"/>
      <c r="V305" s="197"/>
      <c r="W305" s="197"/>
      <c r="X305" s="621" t="s">
        <v>933</v>
      </c>
      <c r="Y305" s="232"/>
      <c r="Z305" s="232"/>
      <c r="AA305" s="596" t="s">
        <v>1176</v>
      </c>
      <c r="AB305" s="596"/>
      <c r="AC305" s="596"/>
    </row>
    <row r="306" spans="1:29" s="281" customFormat="1" ht="83.25" customHeight="1">
      <c r="A306" s="238"/>
      <c r="B306" s="654" t="s">
        <v>1491</v>
      </c>
      <c r="C306" s="651" t="s">
        <v>1430</v>
      </c>
      <c r="D306" s="254"/>
      <c r="E306" s="254"/>
      <c r="F306" s="651" t="s">
        <v>1492</v>
      </c>
      <c r="G306" s="609">
        <f t="shared" si="109"/>
        <v>50000</v>
      </c>
      <c r="H306" s="197"/>
      <c r="I306" s="197"/>
      <c r="J306" s="655">
        <v>50000</v>
      </c>
      <c r="K306" s="197"/>
      <c r="L306" s="609">
        <f t="shared" si="110"/>
        <v>3700</v>
      </c>
      <c r="M306" s="197"/>
      <c r="N306" s="197"/>
      <c r="O306" s="655">
        <v>3700</v>
      </c>
      <c r="P306" s="197"/>
      <c r="Q306" s="181">
        <f t="shared" si="112"/>
        <v>50800</v>
      </c>
      <c r="R306" s="620"/>
      <c r="S306" s="197"/>
      <c r="T306" s="655">
        <f>46300+4500</f>
        <v>50800</v>
      </c>
      <c r="U306" s="197"/>
      <c r="V306" s="197"/>
      <c r="W306" s="197"/>
      <c r="X306" s="621" t="s">
        <v>933</v>
      </c>
      <c r="Y306" s="232"/>
      <c r="Z306" s="232"/>
      <c r="AA306" s="596" t="s">
        <v>1176</v>
      </c>
      <c r="AB306" s="596"/>
      <c r="AC306" s="596"/>
    </row>
    <row r="307" spans="1:29" s="281" customFormat="1" ht="83.25" customHeight="1">
      <c r="A307" s="238"/>
      <c r="B307" s="654" t="s">
        <v>1493</v>
      </c>
      <c r="C307" s="651" t="s">
        <v>1494</v>
      </c>
      <c r="D307" s="254"/>
      <c r="E307" s="254"/>
      <c r="F307" s="651" t="s">
        <v>1495</v>
      </c>
      <c r="G307" s="609">
        <f t="shared" si="109"/>
        <v>14950</v>
      </c>
      <c r="H307" s="197"/>
      <c r="I307" s="197"/>
      <c r="J307" s="655">
        <v>14950</v>
      </c>
      <c r="K307" s="197"/>
      <c r="L307" s="609">
        <f t="shared" si="110"/>
        <v>1000</v>
      </c>
      <c r="M307" s="197"/>
      <c r="N307" s="197"/>
      <c r="O307" s="655">
        <v>1000</v>
      </c>
      <c r="P307" s="197"/>
      <c r="Q307" s="181">
        <f t="shared" si="112"/>
        <v>13950</v>
      </c>
      <c r="R307" s="620"/>
      <c r="S307" s="197"/>
      <c r="T307" s="655">
        <v>13950</v>
      </c>
      <c r="U307" s="197"/>
      <c r="V307" s="197"/>
      <c r="W307" s="197"/>
      <c r="X307" s="621" t="s">
        <v>933</v>
      </c>
      <c r="Y307" s="232"/>
      <c r="Z307" s="232"/>
      <c r="AA307" s="596" t="s">
        <v>1176</v>
      </c>
      <c r="AB307" s="596"/>
      <c r="AC307" s="596"/>
    </row>
    <row r="308" spans="1:29" s="281" customFormat="1" ht="83.25" customHeight="1">
      <c r="A308" s="238"/>
      <c r="B308" s="654" t="s">
        <v>1496</v>
      </c>
      <c r="C308" s="651" t="s">
        <v>1483</v>
      </c>
      <c r="D308" s="254"/>
      <c r="E308" s="254"/>
      <c r="F308" s="651" t="s">
        <v>1497</v>
      </c>
      <c r="G308" s="609">
        <f t="shared" si="109"/>
        <v>46000</v>
      </c>
      <c r="H308" s="197"/>
      <c r="I308" s="197"/>
      <c r="J308" s="655">
        <v>46000</v>
      </c>
      <c r="K308" s="197"/>
      <c r="L308" s="609">
        <f t="shared" si="110"/>
        <v>17550</v>
      </c>
      <c r="M308" s="197"/>
      <c r="N308" s="197"/>
      <c r="O308" s="655">
        <v>17550</v>
      </c>
      <c r="P308" s="197"/>
      <c r="Q308" s="181">
        <f t="shared" si="112"/>
        <v>28450</v>
      </c>
      <c r="R308" s="620"/>
      <c r="S308" s="197"/>
      <c r="T308" s="655">
        <v>28450</v>
      </c>
      <c r="U308" s="197"/>
      <c r="V308" s="197"/>
      <c r="W308" s="197"/>
      <c r="X308" s="621" t="s">
        <v>933</v>
      </c>
      <c r="Y308" s="232"/>
      <c r="Z308" s="232"/>
      <c r="AA308" s="596" t="s">
        <v>1176</v>
      </c>
      <c r="AB308" s="596"/>
      <c r="AC308" s="596"/>
    </row>
    <row r="309" spans="1:29" s="281" customFormat="1" ht="83.25" customHeight="1">
      <c r="A309" s="238"/>
      <c r="B309" s="654" t="s">
        <v>1498</v>
      </c>
      <c r="C309" s="651" t="s">
        <v>1499</v>
      </c>
      <c r="D309" s="254"/>
      <c r="E309" s="254"/>
      <c r="F309" s="651" t="s">
        <v>1500</v>
      </c>
      <c r="G309" s="609">
        <f t="shared" si="109"/>
        <v>30000</v>
      </c>
      <c r="H309" s="197"/>
      <c r="I309" s="197"/>
      <c r="J309" s="655">
        <v>30000</v>
      </c>
      <c r="K309" s="197"/>
      <c r="L309" s="609">
        <f t="shared" si="110"/>
        <v>358</v>
      </c>
      <c r="M309" s="197"/>
      <c r="N309" s="197"/>
      <c r="O309" s="655">
        <v>358</v>
      </c>
      <c r="P309" s="197"/>
      <c r="Q309" s="181">
        <f t="shared" si="112"/>
        <v>29642</v>
      </c>
      <c r="R309" s="620"/>
      <c r="S309" s="197"/>
      <c r="T309" s="655">
        <v>29642</v>
      </c>
      <c r="U309" s="197"/>
      <c r="V309" s="197"/>
      <c r="W309" s="197"/>
      <c r="X309" s="621" t="s">
        <v>933</v>
      </c>
      <c r="Y309" s="232"/>
      <c r="Z309" s="232"/>
      <c r="AA309" s="596" t="s">
        <v>1176</v>
      </c>
      <c r="AB309" s="596"/>
      <c r="AC309" s="596"/>
    </row>
    <row r="310" spans="1:29" s="298" customFormat="1" ht="83.25" customHeight="1">
      <c r="A310" s="294" t="s">
        <v>425</v>
      </c>
      <c r="B310" s="610" t="s">
        <v>928</v>
      </c>
      <c r="C310" s="611"/>
      <c r="D310" s="557"/>
      <c r="E310" s="557"/>
      <c r="F310" s="612"/>
      <c r="G310" s="671">
        <f>SUM(G311:G314)</f>
        <v>405000</v>
      </c>
      <c r="H310" s="671">
        <f t="shared" ref="H310:V310" si="113">SUM(H311:H314)</f>
        <v>0</v>
      </c>
      <c r="I310" s="671">
        <f t="shared" si="113"/>
        <v>107000</v>
      </c>
      <c r="J310" s="671">
        <f t="shared" si="113"/>
        <v>298000</v>
      </c>
      <c r="K310" s="671">
        <f t="shared" si="113"/>
        <v>0</v>
      </c>
      <c r="L310" s="671">
        <f t="shared" si="113"/>
        <v>151923</v>
      </c>
      <c r="M310" s="671">
        <f t="shared" si="113"/>
        <v>0</v>
      </c>
      <c r="N310" s="671">
        <f t="shared" si="113"/>
        <v>78494</v>
      </c>
      <c r="O310" s="671">
        <f t="shared" si="113"/>
        <v>73429</v>
      </c>
      <c r="P310" s="671">
        <f t="shared" si="113"/>
        <v>0</v>
      </c>
      <c r="Q310" s="671">
        <f t="shared" si="113"/>
        <v>62984</v>
      </c>
      <c r="R310" s="671">
        <f t="shared" si="113"/>
        <v>12984</v>
      </c>
      <c r="S310" s="671">
        <f t="shared" si="113"/>
        <v>0</v>
      </c>
      <c r="T310" s="671">
        <f t="shared" si="113"/>
        <v>50000</v>
      </c>
      <c r="U310" s="671">
        <f t="shared" si="113"/>
        <v>0</v>
      </c>
      <c r="V310" s="671">
        <f t="shared" si="113"/>
        <v>0</v>
      </c>
      <c r="W310" s="295"/>
      <c r="X310" s="610"/>
      <c r="Y310" s="297"/>
      <c r="Z310" s="297"/>
      <c r="AA310" s="597"/>
      <c r="AB310" s="597"/>
      <c r="AC310" s="597"/>
    </row>
    <row r="311" spans="1:29" s="298" customFormat="1" ht="83.25" customHeight="1">
      <c r="A311" s="294"/>
      <c r="B311" s="606" t="s">
        <v>1501</v>
      </c>
      <c r="C311" s="607" t="s">
        <v>1227</v>
      </c>
      <c r="D311" s="557"/>
      <c r="E311" s="557"/>
      <c r="F311" s="608" t="s">
        <v>1502</v>
      </c>
      <c r="G311" s="609">
        <f t="shared" si="109"/>
        <v>21000</v>
      </c>
      <c r="H311" s="295"/>
      <c r="I311" s="295"/>
      <c r="J311" s="609">
        <v>21000</v>
      </c>
      <c r="K311" s="295"/>
      <c r="L311" s="609">
        <f t="shared" si="110"/>
        <v>17900</v>
      </c>
      <c r="M311" s="295"/>
      <c r="N311" s="295"/>
      <c r="O311" s="609">
        <f>6862+11038</f>
        <v>17900</v>
      </c>
      <c r="P311" s="295"/>
      <c r="Q311" s="181">
        <f t="shared" si="112"/>
        <v>2000</v>
      </c>
      <c r="R311" s="609">
        <v>2000</v>
      </c>
      <c r="S311" s="295"/>
      <c r="T311" s="671"/>
      <c r="U311" s="295"/>
      <c r="V311" s="295"/>
      <c r="W311" s="295"/>
      <c r="X311" s="608" t="s">
        <v>928</v>
      </c>
      <c r="Y311" s="297"/>
      <c r="Z311" s="297"/>
      <c r="AA311" s="597"/>
      <c r="AB311" s="597"/>
      <c r="AC311" s="597"/>
    </row>
    <row r="312" spans="1:29" s="298" customFormat="1" ht="83.25" customHeight="1">
      <c r="A312" s="294"/>
      <c r="B312" s="606" t="s">
        <v>1503</v>
      </c>
      <c r="C312" s="607" t="s">
        <v>841</v>
      </c>
      <c r="D312" s="557"/>
      <c r="E312" s="557"/>
      <c r="F312" s="608" t="s">
        <v>1504</v>
      </c>
      <c r="G312" s="609">
        <f t="shared" si="109"/>
        <v>40000</v>
      </c>
      <c r="H312" s="295"/>
      <c r="I312" s="295"/>
      <c r="J312" s="609">
        <v>40000</v>
      </c>
      <c r="K312" s="295"/>
      <c r="L312" s="609">
        <f t="shared" si="110"/>
        <v>7413</v>
      </c>
      <c r="M312" s="295"/>
      <c r="N312" s="295"/>
      <c r="O312" s="609">
        <v>7413</v>
      </c>
      <c r="P312" s="295"/>
      <c r="Q312" s="181">
        <f t="shared" si="112"/>
        <v>4984</v>
      </c>
      <c r="R312" s="609">
        <f>5000-16</f>
        <v>4984</v>
      </c>
      <c r="S312" s="295"/>
      <c r="T312" s="671"/>
      <c r="U312" s="295"/>
      <c r="V312" s="295"/>
      <c r="W312" s="295"/>
      <c r="X312" s="608" t="s">
        <v>928</v>
      </c>
      <c r="Y312" s="297"/>
      <c r="Z312" s="297"/>
      <c r="AA312" s="597"/>
      <c r="AB312" s="597"/>
      <c r="AC312" s="597"/>
    </row>
    <row r="313" spans="1:29" s="281" customFormat="1" ht="103.5" customHeight="1">
      <c r="A313" s="238"/>
      <c r="B313" s="606" t="s">
        <v>1505</v>
      </c>
      <c r="C313" s="607" t="s">
        <v>1506</v>
      </c>
      <c r="D313" s="254"/>
      <c r="E313" s="254"/>
      <c r="F313" s="608" t="s">
        <v>1507</v>
      </c>
      <c r="G313" s="609">
        <f t="shared" si="109"/>
        <v>49000</v>
      </c>
      <c r="H313" s="197"/>
      <c r="I313" s="197"/>
      <c r="J313" s="609">
        <v>49000</v>
      </c>
      <c r="K313" s="197"/>
      <c r="L313" s="609">
        <f t="shared" si="110"/>
        <v>40116</v>
      </c>
      <c r="M313" s="197"/>
      <c r="N313" s="197"/>
      <c r="O313" s="609">
        <v>40116</v>
      </c>
      <c r="P313" s="197"/>
      <c r="Q313" s="181">
        <f t="shared" si="112"/>
        <v>6000</v>
      </c>
      <c r="R313" s="609">
        <v>6000</v>
      </c>
      <c r="S313" s="197"/>
      <c r="T313" s="609"/>
      <c r="U313" s="197"/>
      <c r="V313" s="197"/>
      <c r="W313" s="197"/>
      <c r="X313" s="608" t="s">
        <v>928</v>
      </c>
      <c r="Y313" s="232"/>
      <c r="Z313" s="232"/>
      <c r="AA313" s="596"/>
      <c r="AB313" s="596"/>
      <c r="AC313" s="596"/>
    </row>
    <row r="314" spans="1:29" s="281" customFormat="1" ht="103.5" customHeight="1">
      <c r="A314" s="238"/>
      <c r="B314" s="606" t="s">
        <v>1508</v>
      </c>
      <c r="C314" s="607" t="s">
        <v>1509</v>
      </c>
      <c r="D314" s="254"/>
      <c r="E314" s="254"/>
      <c r="F314" s="608" t="s">
        <v>1510</v>
      </c>
      <c r="G314" s="609">
        <f t="shared" si="109"/>
        <v>295000</v>
      </c>
      <c r="H314" s="197"/>
      <c r="I314" s="197">
        <f>295000-J314</f>
        <v>107000</v>
      </c>
      <c r="J314" s="609">
        <v>188000</v>
      </c>
      <c r="K314" s="197"/>
      <c r="L314" s="609">
        <f t="shared" si="110"/>
        <v>86494</v>
      </c>
      <c r="M314" s="197"/>
      <c r="N314" s="609">
        <f>86494-O314</f>
        <v>78494</v>
      </c>
      <c r="O314" s="609">
        <v>8000</v>
      </c>
      <c r="P314" s="197"/>
      <c r="Q314" s="181">
        <f t="shared" si="112"/>
        <v>50000</v>
      </c>
      <c r="R314" s="609"/>
      <c r="S314" s="197"/>
      <c r="T314" s="609">
        <v>50000</v>
      </c>
      <c r="U314" s="197"/>
      <c r="V314" s="197"/>
      <c r="W314" s="197"/>
      <c r="X314" s="608" t="s">
        <v>928</v>
      </c>
      <c r="Y314" s="232"/>
      <c r="Z314" s="232"/>
      <c r="AA314" s="596"/>
      <c r="AB314" s="596"/>
      <c r="AC314" s="596"/>
    </row>
    <row r="315" spans="1:29" s="281" customFormat="1" ht="45.75" customHeight="1">
      <c r="A315" s="294" t="s">
        <v>427</v>
      </c>
      <c r="B315" s="610" t="s">
        <v>1511</v>
      </c>
      <c r="C315" s="611"/>
      <c r="D315" s="557"/>
      <c r="E315" s="557"/>
      <c r="F315" s="612"/>
      <c r="G315" s="671">
        <f>SUM(G316:G324)</f>
        <v>129553</v>
      </c>
      <c r="H315" s="671">
        <f t="shared" ref="H315:W315" si="114">SUM(H316:H324)</f>
        <v>0</v>
      </c>
      <c r="I315" s="671">
        <f t="shared" si="114"/>
        <v>0</v>
      </c>
      <c r="J315" s="671">
        <f t="shared" si="114"/>
        <v>129553</v>
      </c>
      <c r="K315" s="671">
        <f t="shared" si="114"/>
        <v>0</v>
      </c>
      <c r="L315" s="671">
        <f t="shared" si="114"/>
        <v>78575</v>
      </c>
      <c r="M315" s="671">
        <f t="shared" si="114"/>
        <v>0</v>
      </c>
      <c r="N315" s="671">
        <f t="shared" si="114"/>
        <v>0</v>
      </c>
      <c r="O315" s="671">
        <f t="shared" si="114"/>
        <v>78575</v>
      </c>
      <c r="P315" s="671">
        <f t="shared" si="114"/>
        <v>0</v>
      </c>
      <c r="Q315" s="671">
        <f t="shared" si="114"/>
        <v>29000</v>
      </c>
      <c r="R315" s="671">
        <f t="shared" si="114"/>
        <v>13000</v>
      </c>
      <c r="S315" s="671">
        <f t="shared" si="114"/>
        <v>0</v>
      </c>
      <c r="T315" s="671">
        <f t="shared" si="114"/>
        <v>16000</v>
      </c>
      <c r="U315" s="671">
        <f t="shared" si="114"/>
        <v>0</v>
      </c>
      <c r="V315" s="671">
        <f t="shared" si="114"/>
        <v>0</v>
      </c>
      <c r="W315" s="671">
        <f t="shared" si="114"/>
        <v>0</v>
      </c>
      <c r="X315" s="612"/>
      <c r="Y315" s="232"/>
      <c r="Z315" s="232"/>
      <c r="AA315" s="596"/>
      <c r="AB315" s="596"/>
      <c r="AC315" s="596"/>
    </row>
    <row r="316" spans="1:29" s="281" customFormat="1" ht="45.75" customHeight="1">
      <c r="A316" s="238"/>
      <c r="B316" s="606" t="s">
        <v>1512</v>
      </c>
      <c r="C316" s="607" t="s">
        <v>994</v>
      </c>
      <c r="D316" s="254"/>
      <c r="E316" s="254"/>
      <c r="F316" s="674" t="s">
        <v>1513</v>
      </c>
      <c r="G316" s="609">
        <f t="shared" si="109"/>
        <v>993</v>
      </c>
      <c r="H316" s="197"/>
      <c r="I316" s="197"/>
      <c r="J316" s="609">
        <v>993</v>
      </c>
      <c r="K316" s="197"/>
      <c r="L316" s="609">
        <f>SUM(M316:P316)</f>
        <v>650</v>
      </c>
      <c r="M316" s="197"/>
      <c r="N316" s="197"/>
      <c r="O316" s="609">
        <v>650</v>
      </c>
      <c r="P316" s="197"/>
      <c r="Q316" s="181">
        <f>SUM(R316:W316)</f>
        <v>200</v>
      </c>
      <c r="R316" s="609">
        <v>200</v>
      </c>
      <c r="S316" s="197"/>
      <c r="T316" s="609"/>
      <c r="U316" s="197"/>
      <c r="V316" s="197"/>
      <c r="W316" s="197"/>
      <c r="X316" s="608" t="s">
        <v>1511</v>
      </c>
      <c r="Y316" s="232"/>
      <c r="Z316" s="232"/>
      <c r="AA316" s="596"/>
      <c r="AB316" s="596"/>
      <c r="AC316" s="596"/>
    </row>
    <row r="317" spans="1:29" s="281" customFormat="1" ht="45.75" customHeight="1">
      <c r="A317" s="238"/>
      <c r="B317" s="606" t="s">
        <v>1514</v>
      </c>
      <c r="C317" s="607" t="s">
        <v>849</v>
      </c>
      <c r="D317" s="254"/>
      <c r="E317" s="254"/>
      <c r="F317" s="674" t="s">
        <v>1515</v>
      </c>
      <c r="G317" s="609">
        <f t="shared" si="109"/>
        <v>1100</v>
      </c>
      <c r="H317" s="197"/>
      <c r="I317" s="197"/>
      <c r="J317" s="609">
        <v>1100</v>
      </c>
      <c r="K317" s="197"/>
      <c r="L317" s="609">
        <f t="shared" ref="L317:L336" si="115">SUM(M317:P317)</f>
        <v>565</v>
      </c>
      <c r="M317" s="197"/>
      <c r="N317" s="197"/>
      <c r="O317" s="609">
        <v>565</v>
      </c>
      <c r="P317" s="197"/>
      <c r="Q317" s="181">
        <f t="shared" ref="Q317:Q340" si="116">SUM(R317:W317)</f>
        <v>400</v>
      </c>
      <c r="R317" s="609">
        <v>400</v>
      </c>
      <c r="S317" s="197"/>
      <c r="T317" s="609"/>
      <c r="U317" s="197"/>
      <c r="V317" s="197"/>
      <c r="W317" s="197"/>
      <c r="X317" s="608" t="s">
        <v>1511</v>
      </c>
      <c r="Y317" s="232"/>
      <c r="Z317" s="232"/>
      <c r="AA317" s="596"/>
      <c r="AB317" s="596"/>
      <c r="AC317" s="596"/>
    </row>
    <row r="318" spans="1:29" s="281" customFormat="1" ht="83.25" customHeight="1">
      <c r="A318" s="238"/>
      <c r="B318" s="606" t="s">
        <v>1516</v>
      </c>
      <c r="C318" s="607" t="s">
        <v>850</v>
      </c>
      <c r="D318" s="254"/>
      <c r="E318" s="254"/>
      <c r="F318" s="674" t="s">
        <v>1517</v>
      </c>
      <c r="G318" s="609">
        <f t="shared" si="109"/>
        <v>14700</v>
      </c>
      <c r="H318" s="197"/>
      <c r="I318" s="197"/>
      <c r="J318" s="609">
        <v>14700</v>
      </c>
      <c r="K318" s="197"/>
      <c r="L318" s="609">
        <f t="shared" si="115"/>
        <v>11120</v>
      </c>
      <c r="M318" s="197"/>
      <c r="N318" s="197"/>
      <c r="O318" s="609">
        <v>11120</v>
      </c>
      <c r="P318" s="197"/>
      <c r="Q318" s="181">
        <f t="shared" si="116"/>
        <v>2000</v>
      </c>
      <c r="R318" s="609">
        <v>2000</v>
      </c>
      <c r="S318" s="197"/>
      <c r="T318" s="609"/>
      <c r="U318" s="197"/>
      <c r="V318" s="197"/>
      <c r="W318" s="197"/>
      <c r="X318" s="608" t="s">
        <v>1511</v>
      </c>
      <c r="Y318" s="232"/>
      <c r="Z318" s="232"/>
      <c r="AA318" s="596"/>
      <c r="AB318" s="596"/>
      <c r="AC318" s="596"/>
    </row>
    <row r="319" spans="1:29" s="281" customFormat="1" ht="83.25" customHeight="1">
      <c r="A319" s="238"/>
      <c r="B319" s="606" t="s">
        <v>1518</v>
      </c>
      <c r="C319" s="607" t="s">
        <v>850</v>
      </c>
      <c r="D319" s="254"/>
      <c r="E319" s="254"/>
      <c r="F319" s="608" t="s">
        <v>1519</v>
      </c>
      <c r="G319" s="609">
        <f t="shared" si="109"/>
        <v>14760</v>
      </c>
      <c r="H319" s="197"/>
      <c r="I319" s="197"/>
      <c r="J319" s="609">
        <v>14760</v>
      </c>
      <c r="K319" s="197"/>
      <c r="L319" s="609">
        <f t="shared" si="115"/>
        <v>12700</v>
      </c>
      <c r="M319" s="197"/>
      <c r="N319" s="197"/>
      <c r="O319" s="609">
        <v>12700</v>
      </c>
      <c r="P319" s="197"/>
      <c r="Q319" s="181">
        <f t="shared" si="116"/>
        <v>600</v>
      </c>
      <c r="R319" s="609">
        <v>600</v>
      </c>
      <c r="S319" s="197"/>
      <c r="T319" s="609"/>
      <c r="U319" s="197"/>
      <c r="V319" s="197"/>
      <c r="W319" s="197"/>
      <c r="X319" s="608" t="s">
        <v>1511</v>
      </c>
      <c r="Y319" s="232"/>
      <c r="Z319" s="232"/>
      <c r="AA319" s="596"/>
      <c r="AB319" s="596"/>
      <c r="AC319" s="596"/>
    </row>
    <row r="320" spans="1:29" s="281" customFormat="1" ht="118.5" customHeight="1">
      <c r="A320" s="238"/>
      <c r="B320" s="606" t="s">
        <v>1520</v>
      </c>
      <c r="C320" s="607" t="s">
        <v>849</v>
      </c>
      <c r="D320" s="254"/>
      <c r="E320" s="254"/>
      <c r="F320" s="608" t="s">
        <v>1521</v>
      </c>
      <c r="G320" s="609">
        <f t="shared" si="109"/>
        <v>9500</v>
      </c>
      <c r="H320" s="197"/>
      <c r="I320" s="197"/>
      <c r="J320" s="609">
        <v>9500</v>
      </c>
      <c r="K320" s="197"/>
      <c r="L320" s="609">
        <f t="shared" si="115"/>
        <v>3500</v>
      </c>
      <c r="M320" s="197"/>
      <c r="N320" s="197"/>
      <c r="O320" s="609">
        <v>3500</v>
      </c>
      <c r="P320" s="197"/>
      <c r="Q320" s="181">
        <f t="shared" si="116"/>
        <v>5000</v>
      </c>
      <c r="R320" s="609">
        <v>5000</v>
      </c>
      <c r="S320" s="197"/>
      <c r="T320" s="609"/>
      <c r="U320" s="197"/>
      <c r="V320" s="197"/>
      <c r="W320" s="197"/>
      <c r="X320" s="608" t="s">
        <v>1511</v>
      </c>
      <c r="Y320" s="232"/>
      <c r="Z320" s="232"/>
      <c r="AA320" s="596"/>
      <c r="AB320" s="596"/>
      <c r="AC320" s="596"/>
    </row>
    <row r="321" spans="1:29" s="281" customFormat="1" ht="83.25" customHeight="1">
      <c r="A321" s="238"/>
      <c r="B321" s="606" t="s">
        <v>1522</v>
      </c>
      <c r="C321" s="607" t="s">
        <v>850</v>
      </c>
      <c r="D321" s="254"/>
      <c r="E321" s="254"/>
      <c r="F321" s="608" t="s">
        <v>1523</v>
      </c>
      <c r="G321" s="609">
        <f t="shared" si="109"/>
        <v>19500</v>
      </c>
      <c r="H321" s="197"/>
      <c r="I321" s="197"/>
      <c r="J321" s="609">
        <v>19500</v>
      </c>
      <c r="K321" s="197"/>
      <c r="L321" s="609">
        <f t="shared" si="115"/>
        <v>14202</v>
      </c>
      <c r="M321" s="197"/>
      <c r="N321" s="197"/>
      <c r="O321" s="609">
        <v>14202</v>
      </c>
      <c r="P321" s="197"/>
      <c r="Q321" s="181">
        <f t="shared" si="116"/>
        <v>3000</v>
      </c>
      <c r="R321" s="609">
        <v>3000</v>
      </c>
      <c r="S321" s="197"/>
      <c r="T321" s="609"/>
      <c r="U321" s="197"/>
      <c r="V321" s="197"/>
      <c r="W321" s="197"/>
      <c r="X321" s="608" t="s">
        <v>1511</v>
      </c>
      <c r="Y321" s="232"/>
      <c r="Z321" s="232"/>
      <c r="AA321" s="596"/>
      <c r="AB321" s="596"/>
      <c r="AC321" s="596"/>
    </row>
    <row r="322" spans="1:29" s="281" customFormat="1" ht="83.25" customHeight="1">
      <c r="A322" s="238"/>
      <c r="B322" s="606" t="s">
        <v>1524</v>
      </c>
      <c r="C322" s="607" t="s">
        <v>850</v>
      </c>
      <c r="D322" s="254"/>
      <c r="E322" s="254"/>
      <c r="F322" s="608" t="s">
        <v>1525</v>
      </c>
      <c r="G322" s="609">
        <f t="shared" si="109"/>
        <v>13500</v>
      </c>
      <c r="H322" s="197"/>
      <c r="I322" s="197"/>
      <c r="J322" s="609">
        <v>13500</v>
      </c>
      <c r="K322" s="197"/>
      <c r="L322" s="609">
        <f t="shared" si="115"/>
        <v>10461</v>
      </c>
      <c r="M322" s="197"/>
      <c r="N322" s="197"/>
      <c r="O322" s="609">
        <v>10461</v>
      </c>
      <c r="P322" s="197"/>
      <c r="Q322" s="181">
        <f t="shared" si="116"/>
        <v>1500</v>
      </c>
      <c r="R322" s="609">
        <v>1500</v>
      </c>
      <c r="S322" s="197"/>
      <c r="T322" s="609"/>
      <c r="U322" s="197"/>
      <c r="V322" s="197"/>
      <c r="W322" s="197"/>
      <c r="X322" s="608" t="s">
        <v>1511</v>
      </c>
      <c r="Y322" s="232"/>
      <c r="Z322" s="232"/>
      <c r="AA322" s="596"/>
      <c r="AB322" s="596"/>
      <c r="AC322" s="596"/>
    </row>
    <row r="323" spans="1:29" s="281" customFormat="1" ht="83.25" customHeight="1">
      <c r="A323" s="238"/>
      <c r="B323" s="606" t="s">
        <v>1526</v>
      </c>
      <c r="C323" s="607" t="s">
        <v>850</v>
      </c>
      <c r="D323" s="254"/>
      <c r="E323" s="254"/>
      <c r="F323" s="608" t="s">
        <v>1527</v>
      </c>
      <c r="G323" s="609">
        <f t="shared" si="109"/>
        <v>13500</v>
      </c>
      <c r="H323" s="197"/>
      <c r="I323" s="197"/>
      <c r="J323" s="609">
        <v>13500</v>
      </c>
      <c r="K323" s="197"/>
      <c r="L323" s="609">
        <f t="shared" si="115"/>
        <v>11877</v>
      </c>
      <c r="M323" s="197"/>
      <c r="N323" s="197"/>
      <c r="O323" s="609">
        <v>11877</v>
      </c>
      <c r="P323" s="197"/>
      <c r="Q323" s="181">
        <f t="shared" si="116"/>
        <v>300</v>
      </c>
      <c r="R323" s="609">
        <v>300</v>
      </c>
      <c r="S323" s="197"/>
      <c r="T323" s="609"/>
      <c r="U323" s="197"/>
      <c r="V323" s="197"/>
      <c r="W323" s="197"/>
      <c r="X323" s="608" t="s">
        <v>1511</v>
      </c>
      <c r="Y323" s="232"/>
      <c r="Z323" s="232"/>
      <c r="AA323" s="596"/>
      <c r="AB323" s="596"/>
      <c r="AC323" s="596"/>
    </row>
    <row r="324" spans="1:29" s="281" customFormat="1" ht="83.25" customHeight="1">
      <c r="A324" s="238"/>
      <c r="B324" s="606" t="s">
        <v>1528</v>
      </c>
      <c r="C324" s="607" t="s">
        <v>1529</v>
      </c>
      <c r="D324" s="254"/>
      <c r="E324" s="254"/>
      <c r="F324" s="674" t="s">
        <v>1530</v>
      </c>
      <c r="G324" s="609">
        <f t="shared" si="109"/>
        <v>42000</v>
      </c>
      <c r="H324" s="197"/>
      <c r="I324" s="197"/>
      <c r="J324" s="609">
        <v>42000</v>
      </c>
      <c r="K324" s="197"/>
      <c r="L324" s="609">
        <f t="shared" si="115"/>
        <v>13500</v>
      </c>
      <c r="M324" s="197"/>
      <c r="N324" s="197"/>
      <c r="O324" s="609">
        <v>13500</v>
      </c>
      <c r="P324" s="197"/>
      <c r="Q324" s="181">
        <f t="shared" si="116"/>
        <v>16000</v>
      </c>
      <c r="R324" s="609"/>
      <c r="S324" s="197"/>
      <c r="T324" s="609">
        <v>16000</v>
      </c>
      <c r="U324" s="197"/>
      <c r="V324" s="197"/>
      <c r="W324" s="197"/>
      <c r="X324" s="608" t="s">
        <v>1511</v>
      </c>
      <c r="Y324" s="232"/>
      <c r="Z324" s="232"/>
      <c r="AA324" s="596"/>
      <c r="AB324" s="596"/>
      <c r="AC324" s="596"/>
    </row>
    <row r="325" spans="1:29" s="281" customFormat="1" ht="54" customHeight="1">
      <c r="A325" s="294"/>
      <c r="B325" s="610" t="s">
        <v>934</v>
      </c>
      <c r="C325" s="611"/>
      <c r="D325" s="557"/>
      <c r="E325" s="557"/>
      <c r="F325" s="612"/>
      <c r="G325" s="671">
        <f>SUM(G326:G327)</f>
        <v>54393</v>
      </c>
      <c r="H325" s="671">
        <f t="shared" ref="H325:V325" si="117">SUM(H326:H327)</f>
        <v>0</v>
      </c>
      <c r="I325" s="671">
        <f t="shared" si="117"/>
        <v>0</v>
      </c>
      <c r="J325" s="671">
        <f t="shared" si="117"/>
        <v>54393</v>
      </c>
      <c r="K325" s="671">
        <f t="shared" si="117"/>
        <v>0</v>
      </c>
      <c r="L325" s="671">
        <f t="shared" si="117"/>
        <v>31000</v>
      </c>
      <c r="M325" s="671">
        <f t="shared" si="117"/>
        <v>0</v>
      </c>
      <c r="N325" s="671">
        <f t="shared" si="117"/>
        <v>0</v>
      </c>
      <c r="O325" s="671">
        <f t="shared" si="117"/>
        <v>31000</v>
      </c>
      <c r="P325" s="671">
        <f t="shared" si="117"/>
        <v>0</v>
      </c>
      <c r="Q325" s="671">
        <f t="shared" si="117"/>
        <v>9500</v>
      </c>
      <c r="R325" s="671">
        <f t="shared" si="117"/>
        <v>9500</v>
      </c>
      <c r="S325" s="671">
        <f t="shared" si="117"/>
        <v>0</v>
      </c>
      <c r="T325" s="671">
        <f t="shared" si="117"/>
        <v>0</v>
      </c>
      <c r="U325" s="671">
        <f t="shared" si="117"/>
        <v>0</v>
      </c>
      <c r="V325" s="671">
        <f t="shared" si="117"/>
        <v>0</v>
      </c>
      <c r="W325" s="295"/>
      <c r="X325" s="612"/>
      <c r="Y325" s="232"/>
      <c r="Z325" s="232"/>
      <c r="AA325" s="596"/>
      <c r="AB325" s="596"/>
      <c r="AC325" s="596"/>
    </row>
    <row r="326" spans="1:29" s="281" customFormat="1" ht="83.25" customHeight="1">
      <c r="A326" s="238"/>
      <c r="B326" s="606" t="s">
        <v>1531</v>
      </c>
      <c r="C326" s="607" t="s">
        <v>954</v>
      </c>
      <c r="D326" s="254"/>
      <c r="E326" s="254"/>
      <c r="F326" s="608" t="s">
        <v>1532</v>
      </c>
      <c r="G326" s="609">
        <f t="shared" si="109"/>
        <v>31593</v>
      </c>
      <c r="H326" s="197"/>
      <c r="I326" s="197"/>
      <c r="J326" s="609">
        <v>31593</v>
      </c>
      <c r="K326" s="197"/>
      <c r="L326" s="609">
        <f t="shared" si="115"/>
        <v>11500</v>
      </c>
      <c r="M326" s="197"/>
      <c r="N326" s="197"/>
      <c r="O326" s="609">
        <v>11500</v>
      </c>
      <c r="P326" s="197"/>
      <c r="Q326" s="181">
        <f t="shared" si="116"/>
        <v>8500</v>
      </c>
      <c r="R326" s="609">
        <v>8500</v>
      </c>
      <c r="S326" s="197"/>
      <c r="T326" s="609"/>
      <c r="U326" s="197"/>
      <c r="V326" s="197"/>
      <c r="W326" s="197"/>
      <c r="X326" s="608" t="s">
        <v>934</v>
      </c>
      <c r="Y326" s="232"/>
      <c r="Z326" s="232"/>
      <c r="AA326" s="596"/>
      <c r="AB326" s="596"/>
      <c r="AC326" s="596"/>
    </row>
    <row r="327" spans="1:29" s="281" customFormat="1" ht="83.25" customHeight="1">
      <c r="A327" s="238"/>
      <c r="B327" s="606" t="s">
        <v>1533</v>
      </c>
      <c r="C327" s="607" t="s">
        <v>954</v>
      </c>
      <c r="D327" s="254"/>
      <c r="E327" s="254"/>
      <c r="F327" s="608" t="s">
        <v>1534</v>
      </c>
      <c r="G327" s="609">
        <f t="shared" si="109"/>
        <v>22800</v>
      </c>
      <c r="H327" s="197"/>
      <c r="I327" s="197"/>
      <c r="J327" s="609">
        <v>22800</v>
      </c>
      <c r="K327" s="197"/>
      <c r="L327" s="609">
        <f t="shared" si="115"/>
        <v>19500</v>
      </c>
      <c r="M327" s="197"/>
      <c r="N327" s="197"/>
      <c r="O327" s="609">
        <v>19500</v>
      </c>
      <c r="P327" s="197"/>
      <c r="Q327" s="181">
        <f t="shared" si="116"/>
        <v>1000</v>
      </c>
      <c r="R327" s="609">
        <v>1000</v>
      </c>
      <c r="S327" s="197"/>
      <c r="T327" s="609"/>
      <c r="U327" s="197"/>
      <c r="V327" s="197"/>
      <c r="W327" s="197"/>
      <c r="X327" s="608" t="s">
        <v>934</v>
      </c>
      <c r="Y327" s="232"/>
      <c r="Z327" s="232"/>
      <c r="AA327" s="596"/>
      <c r="AB327" s="596"/>
      <c r="AC327" s="596"/>
    </row>
    <row r="328" spans="1:29" s="298" customFormat="1" ht="58.5" customHeight="1">
      <c r="A328" s="294" t="s">
        <v>1535</v>
      </c>
      <c r="B328" s="610" t="s">
        <v>935</v>
      </c>
      <c r="C328" s="611"/>
      <c r="D328" s="557"/>
      <c r="E328" s="557"/>
      <c r="F328" s="612"/>
      <c r="G328" s="671">
        <f>SUM(G329:G333)</f>
        <v>628690</v>
      </c>
      <c r="H328" s="671">
        <f t="shared" ref="H328:W328" si="118">SUM(H329:H333)</f>
        <v>0</v>
      </c>
      <c r="I328" s="671">
        <f t="shared" si="118"/>
        <v>0</v>
      </c>
      <c r="J328" s="671">
        <f t="shared" si="118"/>
        <v>628690</v>
      </c>
      <c r="K328" s="671">
        <f t="shared" si="118"/>
        <v>0</v>
      </c>
      <c r="L328" s="671">
        <f t="shared" si="118"/>
        <v>191689</v>
      </c>
      <c r="M328" s="671">
        <f t="shared" si="118"/>
        <v>0</v>
      </c>
      <c r="N328" s="671">
        <f t="shared" si="118"/>
        <v>0</v>
      </c>
      <c r="O328" s="671">
        <f t="shared" si="118"/>
        <v>191689</v>
      </c>
      <c r="P328" s="671">
        <f t="shared" si="118"/>
        <v>0</v>
      </c>
      <c r="Q328" s="671">
        <f t="shared" si="118"/>
        <v>136500</v>
      </c>
      <c r="R328" s="671">
        <f t="shared" si="118"/>
        <v>0</v>
      </c>
      <c r="S328" s="671">
        <f t="shared" si="118"/>
        <v>0</v>
      </c>
      <c r="T328" s="671">
        <f t="shared" si="118"/>
        <v>136500</v>
      </c>
      <c r="U328" s="671">
        <f t="shared" si="118"/>
        <v>0</v>
      </c>
      <c r="V328" s="671">
        <f t="shared" si="118"/>
        <v>0</v>
      </c>
      <c r="W328" s="671">
        <f t="shared" si="118"/>
        <v>0</v>
      </c>
      <c r="X328" s="612"/>
      <c r="Y328" s="297"/>
      <c r="Z328" s="297"/>
      <c r="AA328" s="597"/>
      <c r="AB328" s="597"/>
      <c r="AC328" s="597"/>
    </row>
    <row r="329" spans="1:29" s="298" customFormat="1" ht="76.5" customHeight="1">
      <c r="A329" s="294"/>
      <c r="B329" s="606" t="s">
        <v>1536</v>
      </c>
      <c r="C329" s="607" t="s">
        <v>968</v>
      </c>
      <c r="D329" s="557"/>
      <c r="E329" s="557"/>
      <c r="F329" s="608" t="s">
        <v>1537</v>
      </c>
      <c r="G329" s="609">
        <f t="shared" si="109"/>
        <v>102873</v>
      </c>
      <c r="H329" s="295"/>
      <c r="I329" s="295"/>
      <c r="J329" s="609">
        <v>102873</v>
      </c>
      <c r="K329" s="295"/>
      <c r="L329" s="609">
        <f t="shared" si="115"/>
        <v>71300</v>
      </c>
      <c r="M329" s="295"/>
      <c r="N329" s="295"/>
      <c r="O329" s="609">
        <v>71300</v>
      </c>
      <c r="P329" s="295"/>
      <c r="Q329" s="181">
        <f t="shared" si="116"/>
        <v>20000</v>
      </c>
      <c r="R329" s="671"/>
      <c r="S329" s="295"/>
      <c r="T329" s="609">
        <v>20000</v>
      </c>
      <c r="U329" s="295"/>
      <c r="V329" s="295"/>
      <c r="W329" s="295"/>
      <c r="X329" s="608" t="s">
        <v>935</v>
      </c>
      <c r="Y329" s="297"/>
      <c r="Z329" s="297"/>
      <c r="AA329" s="597"/>
      <c r="AB329" s="597"/>
      <c r="AC329" s="597"/>
    </row>
    <row r="330" spans="1:29" s="281" customFormat="1" ht="83.25" customHeight="1">
      <c r="A330" s="238"/>
      <c r="B330" s="606" t="s">
        <v>1538</v>
      </c>
      <c r="C330" s="607" t="s">
        <v>968</v>
      </c>
      <c r="D330" s="254"/>
      <c r="E330" s="254"/>
      <c r="F330" s="608" t="s">
        <v>1539</v>
      </c>
      <c r="G330" s="609">
        <f t="shared" si="109"/>
        <v>14900</v>
      </c>
      <c r="H330" s="197"/>
      <c r="I330" s="197"/>
      <c r="J330" s="609">
        <v>14900</v>
      </c>
      <c r="K330" s="197"/>
      <c r="L330" s="609">
        <f t="shared" si="115"/>
        <v>12070</v>
      </c>
      <c r="M330" s="197"/>
      <c r="N330" s="197"/>
      <c r="O330" s="609">
        <v>12070</v>
      </c>
      <c r="P330" s="197"/>
      <c r="Q330" s="181">
        <f t="shared" si="116"/>
        <v>1500</v>
      </c>
      <c r="R330" s="609"/>
      <c r="S330" s="197"/>
      <c r="T330" s="609">
        <v>1500</v>
      </c>
      <c r="U330" s="197"/>
      <c r="V330" s="197"/>
      <c r="W330" s="197"/>
      <c r="X330" s="608" t="s">
        <v>935</v>
      </c>
      <c r="Y330" s="232"/>
      <c r="Z330" s="232"/>
      <c r="AA330" s="596"/>
      <c r="AB330" s="596"/>
      <c r="AC330" s="596"/>
    </row>
    <row r="331" spans="1:29" s="281" customFormat="1" ht="83.25" customHeight="1">
      <c r="A331" s="238"/>
      <c r="B331" s="606" t="s">
        <v>1540</v>
      </c>
      <c r="C331" s="607" t="s">
        <v>968</v>
      </c>
      <c r="D331" s="254"/>
      <c r="E331" s="254"/>
      <c r="F331" s="608" t="s">
        <v>1541</v>
      </c>
      <c r="G331" s="609">
        <f t="shared" si="109"/>
        <v>50917</v>
      </c>
      <c r="H331" s="197"/>
      <c r="I331" s="197"/>
      <c r="J331" s="609">
        <v>50917</v>
      </c>
      <c r="K331" s="197"/>
      <c r="L331" s="609">
        <f t="shared" si="115"/>
        <v>40817</v>
      </c>
      <c r="M331" s="197"/>
      <c r="N331" s="197"/>
      <c r="O331" s="609">
        <v>40817</v>
      </c>
      <c r="P331" s="197"/>
      <c r="Q331" s="181">
        <f t="shared" si="116"/>
        <v>5000</v>
      </c>
      <c r="R331" s="609"/>
      <c r="S331" s="197"/>
      <c r="T331" s="609">
        <v>5000</v>
      </c>
      <c r="U331" s="197"/>
      <c r="V331" s="197"/>
      <c r="W331" s="197"/>
      <c r="X331" s="608" t="s">
        <v>935</v>
      </c>
      <c r="Y331" s="232"/>
      <c r="Z331" s="232"/>
      <c r="AA331" s="596"/>
      <c r="AB331" s="596"/>
      <c r="AC331" s="596"/>
    </row>
    <row r="332" spans="1:29" s="281" customFormat="1" ht="83.25" customHeight="1">
      <c r="A332" s="238"/>
      <c r="B332" s="606" t="s">
        <v>1542</v>
      </c>
      <c r="C332" s="607" t="s">
        <v>968</v>
      </c>
      <c r="D332" s="254"/>
      <c r="E332" s="254"/>
      <c r="F332" s="674" t="s">
        <v>1543</v>
      </c>
      <c r="G332" s="609">
        <f t="shared" si="109"/>
        <v>350000</v>
      </c>
      <c r="H332" s="197"/>
      <c r="I332" s="197"/>
      <c r="J332" s="609">
        <v>350000</v>
      </c>
      <c r="K332" s="197"/>
      <c r="L332" s="609">
        <f t="shared" si="115"/>
        <v>51500</v>
      </c>
      <c r="M332" s="197"/>
      <c r="N332" s="197"/>
      <c r="O332" s="609">
        <v>51500</v>
      </c>
      <c r="P332" s="197"/>
      <c r="Q332" s="181">
        <f t="shared" si="116"/>
        <v>70000</v>
      </c>
      <c r="R332" s="609"/>
      <c r="S332" s="197"/>
      <c r="T332" s="609">
        <v>70000</v>
      </c>
      <c r="U332" s="197"/>
      <c r="V332" s="197"/>
      <c r="W332" s="197"/>
      <c r="X332" s="608" t="s">
        <v>935</v>
      </c>
      <c r="Y332" s="232"/>
      <c r="Z332" s="232"/>
      <c r="AA332" s="596"/>
      <c r="AB332" s="596"/>
      <c r="AC332" s="596"/>
    </row>
    <row r="333" spans="1:29" s="281" customFormat="1" ht="83.25" customHeight="1">
      <c r="A333" s="238"/>
      <c r="B333" s="606" t="s">
        <v>1544</v>
      </c>
      <c r="C333" s="607" t="s">
        <v>968</v>
      </c>
      <c r="D333" s="254"/>
      <c r="E333" s="254"/>
      <c r="F333" s="674" t="s">
        <v>1545</v>
      </c>
      <c r="G333" s="609">
        <f t="shared" si="109"/>
        <v>110000</v>
      </c>
      <c r="H333" s="197"/>
      <c r="I333" s="197"/>
      <c r="J333" s="609">
        <v>110000</v>
      </c>
      <c r="K333" s="197"/>
      <c r="L333" s="609">
        <f t="shared" si="115"/>
        <v>16002</v>
      </c>
      <c r="M333" s="197"/>
      <c r="N333" s="197"/>
      <c r="O333" s="609">
        <v>16002</v>
      </c>
      <c r="P333" s="197"/>
      <c r="Q333" s="181">
        <f t="shared" si="116"/>
        <v>40000</v>
      </c>
      <c r="R333" s="609"/>
      <c r="S333" s="197"/>
      <c r="T333" s="609">
        <v>40000</v>
      </c>
      <c r="U333" s="197"/>
      <c r="V333" s="197"/>
      <c r="W333" s="197"/>
      <c r="X333" s="608" t="s">
        <v>935</v>
      </c>
      <c r="Y333" s="232"/>
      <c r="Z333" s="232"/>
      <c r="AA333" s="596"/>
      <c r="AB333" s="596"/>
      <c r="AC333" s="596"/>
    </row>
    <row r="334" spans="1:29" s="298" customFormat="1" ht="83.25" customHeight="1">
      <c r="A334" s="294"/>
      <c r="B334" s="675" t="s">
        <v>936</v>
      </c>
      <c r="C334" s="611"/>
      <c r="D334" s="557"/>
      <c r="E334" s="557"/>
      <c r="F334" s="676"/>
      <c r="G334" s="671">
        <f>SUM(G335:G336)</f>
        <v>89393</v>
      </c>
      <c r="H334" s="671">
        <f t="shared" ref="H334:V334" si="119">SUM(H335:H336)</f>
        <v>0</v>
      </c>
      <c r="I334" s="671">
        <f t="shared" si="119"/>
        <v>0</v>
      </c>
      <c r="J334" s="671">
        <f t="shared" si="119"/>
        <v>89393</v>
      </c>
      <c r="K334" s="671">
        <f t="shared" si="119"/>
        <v>0</v>
      </c>
      <c r="L334" s="671">
        <f t="shared" si="119"/>
        <v>30000</v>
      </c>
      <c r="M334" s="671">
        <f t="shared" si="119"/>
        <v>0</v>
      </c>
      <c r="N334" s="671">
        <f t="shared" si="119"/>
        <v>0</v>
      </c>
      <c r="O334" s="671">
        <f t="shared" si="119"/>
        <v>30000</v>
      </c>
      <c r="P334" s="671">
        <f t="shared" si="119"/>
        <v>0</v>
      </c>
      <c r="Q334" s="671">
        <f t="shared" si="119"/>
        <v>30000</v>
      </c>
      <c r="R334" s="671">
        <f t="shared" si="119"/>
        <v>0</v>
      </c>
      <c r="S334" s="671">
        <f t="shared" si="119"/>
        <v>0</v>
      </c>
      <c r="T334" s="671">
        <f t="shared" si="119"/>
        <v>30000</v>
      </c>
      <c r="U334" s="671">
        <f t="shared" si="119"/>
        <v>0</v>
      </c>
      <c r="V334" s="671">
        <f t="shared" si="119"/>
        <v>0</v>
      </c>
      <c r="W334" s="295"/>
      <c r="X334" s="612"/>
      <c r="Y334" s="297"/>
      <c r="Z334" s="297"/>
      <c r="AA334" s="597"/>
      <c r="AB334" s="597"/>
      <c r="AC334" s="597"/>
    </row>
    <row r="335" spans="1:29" s="281" customFormat="1" ht="83.25" customHeight="1">
      <c r="A335" s="238"/>
      <c r="B335" s="654" t="s">
        <v>1546</v>
      </c>
      <c r="C335" s="651" t="s">
        <v>1547</v>
      </c>
      <c r="D335" s="254"/>
      <c r="E335" s="254"/>
      <c r="F335" s="651" t="s">
        <v>1548</v>
      </c>
      <c r="G335" s="609">
        <f t="shared" si="109"/>
        <v>35000</v>
      </c>
      <c r="H335" s="197"/>
      <c r="I335" s="197"/>
      <c r="J335" s="655">
        <v>35000</v>
      </c>
      <c r="K335" s="197"/>
      <c r="L335" s="609">
        <f t="shared" si="115"/>
        <v>15000</v>
      </c>
      <c r="M335" s="197"/>
      <c r="N335" s="197"/>
      <c r="O335" s="655">
        <v>15000</v>
      </c>
      <c r="P335" s="197"/>
      <c r="Q335" s="181">
        <f t="shared" si="116"/>
        <v>10000</v>
      </c>
      <c r="R335" s="609"/>
      <c r="S335" s="197"/>
      <c r="T335" s="609">
        <v>10000</v>
      </c>
      <c r="U335" s="197"/>
      <c r="V335" s="197"/>
      <c r="W335" s="197"/>
      <c r="X335" s="651" t="s">
        <v>936</v>
      </c>
      <c r="Y335" s="232"/>
      <c r="Z335" s="232"/>
      <c r="AA335" s="596"/>
      <c r="AB335" s="596" t="s">
        <v>1176</v>
      </c>
      <c r="AC335" s="596"/>
    </row>
    <row r="336" spans="1:29" s="281" customFormat="1" ht="83.25" customHeight="1">
      <c r="A336" s="238"/>
      <c r="B336" s="677" t="s">
        <v>1549</v>
      </c>
      <c r="C336" s="678" t="s">
        <v>1547</v>
      </c>
      <c r="D336" s="254"/>
      <c r="E336" s="254"/>
      <c r="F336" s="678" t="s">
        <v>1550</v>
      </c>
      <c r="G336" s="609">
        <f t="shared" si="109"/>
        <v>54393</v>
      </c>
      <c r="H336" s="197"/>
      <c r="I336" s="197"/>
      <c r="J336" s="679">
        <f>J325</f>
        <v>54393</v>
      </c>
      <c r="K336" s="197"/>
      <c r="L336" s="609">
        <f t="shared" si="115"/>
        <v>15000</v>
      </c>
      <c r="M336" s="197"/>
      <c r="N336" s="197"/>
      <c r="O336" s="679">
        <v>15000</v>
      </c>
      <c r="P336" s="197"/>
      <c r="Q336" s="181">
        <f t="shared" si="116"/>
        <v>20000</v>
      </c>
      <c r="R336" s="609"/>
      <c r="S336" s="197"/>
      <c r="T336" s="679">
        <v>20000</v>
      </c>
      <c r="U336" s="197"/>
      <c r="V336" s="197"/>
      <c r="W336" s="197"/>
      <c r="X336" s="651" t="s">
        <v>936</v>
      </c>
      <c r="Y336" s="232"/>
      <c r="Z336" s="232"/>
      <c r="AA336" s="596"/>
      <c r="AB336" s="596" t="s">
        <v>1176</v>
      </c>
      <c r="AC336" s="596"/>
    </row>
    <row r="337" spans="1:29" s="298" customFormat="1" ht="44.25" customHeight="1">
      <c r="A337" s="294" t="s">
        <v>1551</v>
      </c>
      <c r="B337" s="610" t="s">
        <v>909</v>
      </c>
      <c r="C337" s="611"/>
      <c r="D337" s="557"/>
      <c r="E337" s="557"/>
      <c r="F337" s="612"/>
      <c r="G337" s="671">
        <f>G338</f>
        <v>616</v>
      </c>
      <c r="H337" s="671">
        <f t="shared" ref="H337:W337" si="120">H338</f>
        <v>0</v>
      </c>
      <c r="I337" s="671">
        <f t="shared" si="120"/>
        <v>0</v>
      </c>
      <c r="J337" s="671">
        <f t="shared" si="120"/>
        <v>616</v>
      </c>
      <c r="K337" s="671">
        <f t="shared" si="120"/>
        <v>0</v>
      </c>
      <c r="L337" s="671">
        <f t="shared" si="120"/>
        <v>10</v>
      </c>
      <c r="M337" s="671">
        <f t="shared" si="120"/>
        <v>0</v>
      </c>
      <c r="N337" s="671">
        <f t="shared" si="120"/>
        <v>0</v>
      </c>
      <c r="O337" s="671">
        <f t="shared" si="120"/>
        <v>10</v>
      </c>
      <c r="P337" s="671">
        <f t="shared" si="120"/>
        <v>0</v>
      </c>
      <c r="Q337" s="671">
        <f t="shared" si="120"/>
        <v>510</v>
      </c>
      <c r="R337" s="671">
        <f t="shared" si="120"/>
        <v>510</v>
      </c>
      <c r="S337" s="671">
        <f t="shared" si="120"/>
        <v>0</v>
      </c>
      <c r="T337" s="671">
        <f t="shared" si="120"/>
        <v>0</v>
      </c>
      <c r="U337" s="671">
        <f t="shared" si="120"/>
        <v>0</v>
      </c>
      <c r="V337" s="671">
        <f t="shared" si="120"/>
        <v>0</v>
      </c>
      <c r="W337" s="671">
        <f t="shared" si="120"/>
        <v>0</v>
      </c>
      <c r="X337" s="610"/>
      <c r="Y337" s="297"/>
      <c r="Z337" s="297"/>
      <c r="AA337" s="597"/>
      <c r="AB337" s="597"/>
      <c r="AC337" s="597"/>
    </row>
    <row r="338" spans="1:29" s="281" customFormat="1" ht="90.75" customHeight="1">
      <c r="A338" s="238"/>
      <c r="B338" s="606" t="s">
        <v>1552</v>
      </c>
      <c r="C338" s="607" t="s">
        <v>894</v>
      </c>
      <c r="D338" s="254"/>
      <c r="E338" s="254"/>
      <c r="F338" s="608" t="s">
        <v>1553</v>
      </c>
      <c r="G338" s="609">
        <f t="shared" si="109"/>
        <v>616</v>
      </c>
      <c r="H338" s="197"/>
      <c r="I338" s="197"/>
      <c r="J338" s="609">
        <v>616</v>
      </c>
      <c r="K338" s="197"/>
      <c r="L338" s="609">
        <f t="shared" si="110"/>
        <v>10</v>
      </c>
      <c r="M338" s="197"/>
      <c r="N338" s="197"/>
      <c r="O338" s="609">
        <v>10</v>
      </c>
      <c r="P338" s="197"/>
      <c r="Q338" s="181">
        <f t="shared" si="116"/>
        <v>510</v>
      </c>
      <c r="R338" s="609">
        <v>510</v>
      </c>
      <c r="S338" s="197"/>
      <c r="T338" s="197"/>
      <c r="U338" s="197"/>
      <c r="V338" s="197"/>
      <c r="W338" s="197"/>
      <c r="X338" s="608" t="s">
        <v>909</v>
      </c>
      <c r="Y338" s="232"/>
      <c r="Z338" s="232"/>
      <c r="AA338" s="596"/>
      <c r="AB338" s="596"/>
      <c r="AC338" s="596"/>
    </row>
    <row r="339" spans="1:29" s="298" customFormat="1" ht="59.25" customHeight="1">
      <c r="A339" s="294" t="s">
        <v>1554</v>
      </c>
      <c r="B339" s="610" t="s">
        <v>910</v>
      </c>
      <c r="C339" s="611"/>
      <c r="D339" s="557"/>
      <c r="E339" s="557"/>
      <c r="F339" s="612"/>
      <c r="G339" s="671">
        <f>SUM(G340)</f>
        <v>1376</v>
      </c>
      <c r="H339" s="671">
        <f t="shared" ref="H339:V339" si="121">SUM(H340)</f>
        <v>0</v>
      </c>
      <c r="I339" s="671">
        <f t="shared" si="121"/>
        <v>0</v>
      </c>
      <c r="J339" s="671">
        <f t="shared" si="121"/>
        <v>1376</v>
      </c>
      <c r="K339" s="671">
        <f t="shared" si="121"/>
        <v>0</v>
      </c>
      <c r="L339" s="671">
        <f t="shared" si="121"/>
        <v>688</v>
      </c>
      <c r="M339" s="671">
        <f t="shared" si="121"/>
        <v>0</v>
      </c>
      <c r="N339" s="671">
        <f t="shared" si="121"/>
        <v>0</v>
      </c>
      <c r="O339" s="671">
        <f t="shared" si="121"/>
        <v>688</v>
      </c>
      <c r="P339" s="671">
        <f t="shared" si="121"/>
        <v>0</v>
      </c>
      <c r="Q339" s="671">
        <f t="shared" si="121"/>
        <v>527</v>
      </c>
      <c r="R339" s="671">
        <f t="shared" si="121"/>
        <v>527</v>
      </c>
      <c r="S339" s="671">
        <f t="shared" si="121"/>
        <v>0</v>
      </c>
      <c r="T339" s="671">
        <f t="shared" si="121"/>
        <v>0</v>
      </c>
      <c r="U339" s="671">
        <f t="shared" si="121"/>
        <v>0</v>
      </c>
      <c r="V339" s="671">
        <f t="shared" si="121"/>
        <v>0</v>
      </c>
      <c r="W339" s="295"/>
      <c r="X339" s="610"/>
      <c r="Y339" s="297"/>
      <c r="Z339" s="297"/>
      <c r="AA339" s="597"/>
      <c r="AB339" s="597"/>
      <c r="AC339" s="597"/>
    </row>
    <row r="340" spans="1:29" s="281" customFormat="1" ht="83.25" customHeight="1">
      <c r="A340" s="238"/>
      <c r="B340" s="606" t="s">
        <v>1555</v>
      </c>
      <c r="C340" s="607" t="s">
        <v>864</v>
      </c>
      <c r="D340" s="254"/>
      <c r="E340" s="254"/>
      <c r="F340" s="608" t="s">
        <v>1556</v>
      </c>
      <c r="G340" s="609">
        <f t="shared" si="109"/>
        <v>1376</v>
      </c>
      <c r="H340" s="197"/>
      <c r="I340" s="197"/>
      <c r="J340" s="609">
        <v>1376</v>
      </c>
      <c r="K340" s="197"/>
      <c r="L340" s="609">
        <f t="shared" si="110"/>
        <v>688</v>
      </c>
      <c r="M340" s="197"/>
      <c r="N340" s="197"/>
      <c r="O340" s="609">
        <v>688</v>
      </c>
      <c r="P340" s="197"/>
      <c r="Q340" s="181">
        <f t="shared" si="116"/>
        <v>527</v>
      </c>
      <c r="R340" s="609">
        <v>527</v>
      </c>
      <c r="S340" s="197"/>
      <c r="T340" s="197"/>
      <c r="U340" s="197"/>
      <c r="V340" s="197"/>
      <c r="W340" s="197"/>
      <c r="X340" s="608" t="s">
        <v>910</v>
      </c>
      <c r="Y340" s="232"/>
      <c r="Z340" s="232"/>
      <c r="AA340" s="596"/>
      <c r="AB340" s="596"/>
      <c r="AC340" s="596"/>
    </row>
    <row r="341" spans="1:29" s="354" customFormat="1" ht="40.5" customHeight="1">
      <c r="A341" s="351" t="s">
        <v>393</v>
      </c>
      <c r="B341" s="352" t="s">
        <v>1557</v>
      </c>
      <c r="C341" s="294"/>
      <c r="D341" s="352"/>
      <c r="E341" s="352"/>
      <c r="F341" s="352"/>
      <c r="G341" s="680">
        <f t="shared" ref="G341:W341" si="122">G342+G344+G346+G349+G351+G353+G355+G357+G360+G370+G372+G374+G377+G379+G381+G385+G388+G394+G396</f>
        <v>1534705</v>
      </c>
      <c r="H341" s="680">
        <f t="shared" si="122"/>
        <v>0</v>
      </c>
      <c r="I341" s="680">
        <f t="shared" si="122"/>
        <v>0</v>
      </c>
      <c r="J341" s="680">
        <f t="shared" si="122"/>
        <v>1534705</v>
      </c>
      <c r="K341" s="680">
        <f t="shared" si="122"/>
        <v>0</v>
      </c>
      <c r="L341" s="680">
        <f t="shared" si="122"/>
        <v>866003</v>
      </c>
      <c r="M341" s="680">
        <f t="shared" si="122"/>
        <v>0</v>
      </c>
      <c r="N341" s="680">
        <f t="shared" si="122"/>
        <v>0</v>
      </c>
      <c r="O341" s="680">
        <f t="shared" si="122"/>
        <v>866003</v>
      </c>
      <c r="P341" s="680">
        <f t="shared" si="122"/>
        <v>0</v>
      </c>
      <c r="Q341" s="680">
        <f t="shared" si="122"/>
        <v>208959</v>
      </c>
      <c r="R341" s="680">
        <f t="shared" si="122"/>
        <v>92120</v>
      </c>
      <c r="S341" s="680">
        <f t="shared" si="122"/>
        <v>0</v>
      </c>
      <c r="T341" s="680">
        <f t="shared" si="122"/>
        <v>116839</v>
      </c>
      <c r="U341" s="680">
        <f t="shared" si="122"/>
        <v>0</v>
      </c>
      <c r="V341" s="680">
        <f t="shared" si="122"/>
        <v>0</v>
      </c>
      <c r="W341" s="680">
        <f t="shared" si="122"/>
        <v>0</v>
      </c>
      <c r="X341" s="351"/>
      <c r="AA341" s="598"/>
      <c r="AB341" s="598"/>
      <c r="AC341" s="598"/>
    </row>
    <row r="342" spans="1:29" s="265" customFormat="1" ht="30.75" customHeight="1">
      <c r="A342" s="351" t="s">
        <v>97</v>
      </c>
      <c r="B342" s="610" t="s">
        <v>918</v>
      </c>
      <c r="C342" s="611"/>
      <c r="D342" s="352"/>
      <c r="E342" s="352"/>
      <c r="F342" s="612"/>
      <c r="G342" s="680">
        <f>SUM(G343)</f>
        <v>6906</v>
      </c>
      <c r="H342" s="680">
        <f t="shared" ref="H342:W342" si="123">SUM(H343)</f>
        <v>0</v>
      </c>
      <c r="I342" s="680">
        <f t="shared" si="123"/>
        <v>0</v>
      </c>
      <c r="J342" s="680">
        <f t="shared" si="123"/>
        <v>6906</v>
      </c>
      <c r="K342" s="680">
        <f t="shared" si="123"/>
        <v>0</v>
      </c>
      <c r="L342" s="680">
        <f t="shared" si="123"/>
        <v>6300</v>
      </c>
      <c r="M342" s="680">
        <f t="shared" si="123"/>
        <v>0</v>
      </c>
      <c r="N342" s="680">
        <f t="shared" si="123"/>
        <v>0</v>
      </c>
      <c r="O342" s="680">
        <f t="shared" si="123"/>
        <v>6300</v>
      </c>
      <c r="P342" s="680">
        <f t="shared" si="123"/>
        <v>0</v>
      </c>
      <c r="Q342" s="680">
        <f t="shared" si="123"/>
        <v>606</v>
      </c>
      <c r="R342" s="680">
        <f t="shared" si="123"/>
        <v>0</v>
      </c>
      <c r="S342" s="680">
        <f t="shared" si="123"/>
        <v>0</v>
      </c>
      <c r="T342" s="680">
        <f t="shared" si="123"/>
        <v>606</v>
      </c>
      <c r="U342" s="680">
        <f t="shared" si="123"/>
        <v>0</v>
      </c>
      <c r="V342" s="680">
        <f t="shared" si="123"/>
        <v>0</v>
      </c>
      <c r="W342" s="680">
        <f t="shared" si="123"/>
        <v>0</v>
      </c>
      <c r="X342" s="224"/>
      <c r="AA342" s="601"/>
      <c r="AB342" s="601"/>
      <c r="AC342" s="601"/>
    </row>
    <row r="343" spans="1:29" ht="75">
      <c r="A343" s="224"/>
      <c r="B343" s="606" t="s">
        <v>1558</v>
      </c>
      <c r="C343" s="607" t="s">
        <v>947</v>
      </c>
      <c r="D343" s="239"/>
      <c r="E343" s="239"/>
      <c r="F343" s="608" t="s">
        <v>1559</v>
      </c>
      <c r="G343" s="578">
        <f t="shared" ref="G343:G348" si="124">SUM(H343:K343)</f>
        <v>6906</v>
      </c>
      <c r="H343" s="239"/>
      <c r="I343" s="239"/>
      <c r="J343" s="609">
        <v>6906</v>
      </c>
      <c r="K343" s="239"/>
      <c r="L343" s="239">
        <f t="shared" ref="L343:L348" si="125">SUM(M343:P343)</f>
        <v>6300</v>
      </c>
      <c r="M343" s="239"/>
      <c r="N343" s="239"/>
      <c r="O343" s="609">
        <v>6300</v>
      </c>
      <c r="P343" s="239"/>
      <c r="Q343" s="266">
        <f t="shared" ref="Q343" si="126">SUM(R343:W343)</f>
        <v>606</v>
      </c>
      <c r="R343" s="239"/>
      <c r="S343" s="239"/>
      <c r="T343" s="609">
        <v>606</v>
      </c>
      <c r="U343" s="239"/>
      <c r="V343" s="239"/>
      <c r="W343" s="239"/>
      <c r="X343" s="621" t="s">
        <v>918</v>
      </c>
    </row>
    <row r="344" spans="1:29" s="354" customFormat="1" ht="18.75">
      <c r="A344" s="351" t="s">
        <v>49</v>
      </c>
      <c r="B344" s="610" t="s">
        <v>916</v>
      </c>
      <c r="C344" s="611"/>
      <c r="D344" s="352"/>
      <c r="E344" s="352"/>
      <c r="F344" s="612"/>
      <c r="G344" s="681">
        <f>SUM(G345)</f>
        <v>4738</v>
      </c>
      <c r="H344" s="352">
        <f t="shared" ref="H344:X344" si="127">SUM(H345)</f>
        <v>0</v>
      </c>
      <c r="I344" s="352">
        <f t="shared" si="127"/>
        <v>0</v>
      </c>
      <c r="J344" s="352">
        <f t="shared" si="127"/>
        <v>4738</v>
      </c>
      <c r="K344" s="352">
        <f t="shared" si="127"/>
        <v>0</v>
      </c>
      <c r="L344" s="352">
        <f t="shared" si="127"/>
        <v>4722</v>
      </c>
      <c r="M344" s="352">
        <f t="shared" si="127"/>
        <v>0</v>
      </c>
      <c r="N344" s="352">
        <f t="shared" si="127"/>
        <v>0</v>
      </c>
      <c r="O344" s="352">
        <f t="shared" si="127"/>
        <v>4722</v>
      </c>
      <c r="P344" s="352">
        <f t="shared" si="127"/>
        <v>0</v>
      </c>
      <c r="Q344" s="352">
        <f t="shared" si="127"/>
        <v>16</v>
      </c>
      <c r="R344" s="352">
        <f t="shared" si="127"/>
        <v>16</v>
      </c>
      <c r="S344" s="352">
        <f t="shared" si="127"/>
        <v>0</v>
      </c>
      <c r="T344" s="352">
        <f t="shared" si="127"/>
        <v>0</v>
      </c>
      <c r="U344" s="352">
        <f t="shared" si="127"/>
        <v>0</v>
      </c>
      <c r="V344" s="352">
        <f t="shared" si="127"/>
        <v>0</v>
      </c>
      <c r="W344" s="352">
        <f t="shared" si="127"/>
        <v>0</v>
      </c>
      <c r="X344" s="239">
        <f t="shared" si="127"/>
        <v>0</v>
      </c>
      <c r="AA344" s="598"/>
      <c r="AB344" s="598"/>
      <c r="AC344" s="598"/>
    </row>
    <row r="345" spans="1:29" ht="56.25">
      <c r="A345" s="224"/>
      <c r="B345" s="606" t="s">
        <v>1560</v>
      </c>
      <c r="C345" s="607" t="s">
        <v>947</v>
      </c>
      <c r="D345" s="239"/>
      <c r="E345" s="239"/>
      <c r="F345" s="608" t="s">
        <v>1561</v>
      </c>
      <c r="G345" s="239">
        <f t="shared" si="124"/>
        <v>4738</v>
      </c>
      <c r="H345" s="239"/>
      <c r="I345" s="239"/>
      <c r="J345" s="609">
        <v>4738</v>
      </c>
      <c r="K345" s="239"/>
      <c r="L345" s="239">
        <f t="shared" si="125"/>
        <v>4722</v>
      </c>
      <c r="M345" s="239"/>
      <c r="N345" s="239"/>
      <c r="O345" s="609">
        <v>4722</v>
      </c>
      <c r="P345" s="239"/>
      <c r="Q345" s="241">
        <f>SUM(R345:W345)</f>
        <v>16</v>
      </c>
      <c r="R345" s="609">
        <v>16</v>
      </c>
      <c r="S345" s="239"/>
      <c r="T345" s="239"/>
      <c r="U345" s="239"/>
      <c r="V345" s="239"/>
      <c r="W345" s="239"/>
      <c r="X345" s="621" t="s">
        <v>916</v>
      </c>
    </row>
    <row r="346" spans="1:29" ht="38.25" customHeight="1">
      <c r="A346" s="351" t="s">
        <v>22</v>
      </c>
      <c r="B346" s="610" t="s">
        <v>919</v>
      </c>
      <c r="C346" s="294"/>
      <c r="D346" s="352"/>
      <c r="E346" s="352"/>
      <c r="F346" s="352"/>
      <c r="G346" s="681">
        <f>SUM(G347:G348)</f>
        <v>39700</v>
      </c>
      <c r="H346" s="681">
        <f t="shared" ref="H346:W346" si="128">SUM(H347:H348)</f>
        <v>0</v>
      </c>
      <c r="I346" s="681">
        <f t="shared" si="128"/>
        <v>0</v>
      </c>
      <c r="J346" s="681">
        <f t="shared" si="128"/>
        <v>39700</v>
      </c>
      <c r="K346" s="681">
        <f t="shared" si="128"/>
        <v>0</v>
      </c>
      <c r="L346" s="681">
        <f t="shared" si="128"/>
        <v>8169</v>
      </c>
      <c r="M346" s="681">
        <f t="shared" si="128"/>
        <v>0</v>
      </c>
      <c r="N346" s="681">
        <f t="shared" si="128"/>
        <v>0</v>
      </c>
      <c r="O346" s="681">
        <f t="shared" si="128"/>
        <v>8169</v>
      </c>
      <c r="P346" s="681">
        <f t="shared" si="128"/>
        <v>0</v>
      </c>
      <c r="Q346" s="681">
        <f t="shared" si="128"/>
        <v>24000</v>
      </c>
      <c r="R346" s="681">
        <f t="shared" si="128"/>
        <v>24000</v>
      </c>
      <c r="S346" s="681">
        <f t="shared" si="128"/>
        <v>0</v>
      </c>
      <c r="T346" s="681">
        <f t="shared" si="128"/>
        <v>0</v>
      </c>
      <c r="U346" s="681">
        <f t="shared" si="128"/>
        <v>0</v>
      </c>
      <c r="V346" s="681">
        <f t="shared" si="128"/>
        <v>0</v>
      </c>
      <c r="W346" s="681">
        <f t="shared" si="128"/>
        <v>0</v>
      </c>
      <c r="X346" s="351"/>
    </row>
    <row r="347" spans="1:29" ht="56.25">
      <c r="A347" s="224"/>
      <c r="B347" s="606" t="s">
        <v>1562</v>
      </c>
      <c r="C347" s="607" t="s">
        <v>947</v>
      </c>
      <c r="D347" s="239"/>
      <c r="E347" s="239"/>
      <c r="F347" s="608" t="s">
        <v>1563</v>
      </c>
      <c r="G347" s="239">
        <f t="shared" si="124"/>
        <v>19900</v>
      </c>
      <c r="H347" s="239"/>
      <c r="I347" s="239"/>
      <c r="J347" s="609">
        <v>19900</v>
      </c>
      <c r="K347" s="239"/>
      <c r="L347" s="239">
        <f t="shared" si="125"/>
        <v>4069</v>
      </c>
      <c r="M347" s="239"/>
      <c r="N347" s="239"/>
      <c r="O347" s="609">
        <v>4069</v>
      </c>
      <c r="P347" s="239"/>
      <c r="Q347" s="241">
        <f>SUM(R347:W347)</f>
        <v>12000</v>
      </c>
      <c r="R347" s="609">
        <v>12000</v>
      </c>
      <c r="S347" s="239"/>
      <c r="T347" s="239"/>
      <c r="U347" s="239"/>
      <c r="V347" s="239"/>
      <c r="W347" s="239"/>
      <c r="X347" s="608" t="s">
        <v>919</v>
      </c>
    </row>
    <row r="348" spans="1:29" ht="75">
      <c r="A348" s="224"/>
      <c r="B348" s="606" t="s">
        <v>1564</v>
      </c>
      <c r="C348" s="607" t="s">
        <v>947</v>
      </c>
      <c r="D348" s="239"/>
      <c r="E348" s="239"/>
      <c r="F348" s="608" t="s">
        <v>1565</v>
      </c>
      <c r="G348" s="239">
        <f t="shared" si="124"/>
        <v>19800</v>
      </c>
      <c r="H348" s="239"/>
      <c r="I348" s="239"/>
      <c r="J348" s="609">
        <v>19800</v>
      </c>
      <c r="K348" s="239"/>
      <c r="L348" s="239">
        <f t="shared" si="125"/>
        <v>4100</v>
      </c>
      <c r="M348" s="239"/>
      <c r="N348" s="239"/>
      <c r="O348" s="609">
        <v>4100</v>
      </c>
      <c r="P348" s="239"/>
      <c r="Q348" s="241">
        <f>SUM(R348:W348)</f>
        <v>12000</v>
      </c>
      <c r="R348" s="609">
        <v>12000</v>
      </c>
      <c r="S348" s="239"/>
      <c r="T348" s="239"/>
      <c r="U348" s="239"/>
      <c r="V348" s="239"/>
      <c r="W348" s="239"/>
      <c r="X348" s="608" t="s">
        <v>919</v>
      </c>
    </row>
    <row r="349" spans="1:29" s="298" customFormat="1" ht="45.75" customHeight="1">
      <c r="A349" s="557" t="s">
        <v>23</v>
      </c>
      <c r="B349" s="612" t="s">
        <v>721</v>
      </c>
      <c r="C349" s="611"/>
      <c r="D349" s="321"/>
      <c r="E349" s="321"/>
      <c r="F349" s="612"/>
      <c r="G349" s="580">
        <f>G350</f>
        <v>13000</v>
      </c>
      <c r="H349" s="580">
        <f t="shared" ref="H349:U349" si="129">H350</f>
        <v>0</v>
      </c>
      <c r="I349" s="580">
        <f t="shared" si="129"/>
        <v>0</v>
      </c>
      <c r="J349" s="580">
        <f t="shared" si="129"/>
        <v>13000</v>
      </c>
      <c r="K349" s="580">
        <f t="shared" si="129"/>
        <v>0</v>
      </c>
      <c r="L349" s="580">
        <f t="shared" si="129"/>
        <v>9000</v>
      </c>
      <c r="M349" s="580">
        <f t="shared" si="129"/>
        <v>0</v>
      </c>
      <c r="N349" s="580">
        <f t="shared" si="129"/>
        <v>0</v>
      </c>
      <c r="O349" s="580">
        <f t="shared" si="129"/>
        <v>9000</v>
      </c>
      <c r="P349" s="580">
        <f t="shared" si="129"/>
        <v>0</v>
      </c>
      <c r="Q349" s="580">
        <f t="shared" si="129"/>
        <v>3500</v>
      </c>
      <c r="R349" s="580">
        <f t="shared" si="129"/>
        <v>3500</v>
      </c>
      <c r="S349" s="580">
        <f t="shared" si="129"/>
        <v>0</v>
      </c>
      <c r="T349" s="580">
        <f t="shared" si="129"/>
        <v>0</v>
      </c>
      <c r="U349" s="580">
        <f t="shared" si="129"/>
        <v>0</v>
      </c>
      <c r="V349" s="580"/>
      <c r="W349" s="580"/>
      <c r="X349" s="612"/>
      <c r="Y349" s="297"/>
      <c r="Z349" s="297"/>
      <c r="AA349" s="597"/>
      <c r="AB349" s="597"/>
      <c r="AC349" s="597"/>
    </row>
    <row r="350" spans="1:29" s="281" customFormat="1" ht="45" customHeight="1">
      <c r="A350" s="557"/>
      <c r="B350" s="606" t="s">
        <v>1566</v>
      </c>
      <c r="C350" s="607" t="s">
        <v>894</v>
      </c>
      <c r="D350" s="280"/>
      <c r="E350" s="280"/>
      <c r="F350" s="608" t="s">
        <v>1567</v>
      </c>
      <c r="G350" s="578">
        <f t="shared" ref="G350:G358" si="130">SUM(H350:K350)</f>
        <v>13000</v>
      </c>
      <c r="H350" s="580"/>
      <c r="I350" s="580"/>
      <c r="J350" s="682">
        <v>13000</v>
      </c>
      <c r="K350" s="580"/>
      <c r="L350" s="578">
        <f t="shared" ref="L350:L358" si="131">SUM(M350:P350)</f>
        <v>9000</v>
      </c>
      <c r="M350" s="580"/>
      <c r="N350" s="580"/>
      <c r="O350" s="682">
        <v>9000</v>
      </c>
      <c r="P350" s="580"/>
      <c r="Q350" s="578">
        <f>SUM(R350:W350)</f>
        <v>3500</v>
      </c>
      <c r="R350" s="682">
        <v>3500</v>
      </c>
      <c r="S350" s="580"/>
      <c r="T350" s="682"/>
      <c r="U350" s="580"/>
      <c r="V350" s="580"/>
      <c r="W350" s="580"/>
      <c r="X350" s="608" t="s">
        <v>721</v>
      </c>
      <c r="Y350" s="232"/>
      <c r="Z350" s="232"/>
      <c r="AA350" s="596" t="s">
        <v>905</v>
      </c>
      <c r="AB350" s="596"/>
      <c r="AC350" s="596"/>
    </row>
    <row r="351" spans="1:29" s="354" customFormat="1" ht="33" customHeight="1">
      <c r="A351" s="351" t="s">
        <v>24</v>
      </c>
      <c r="B351" s="612" t="s">
        <v>917</v>
      </c>
      <c r="C351" s="294"/>
      <c r="D351" s="352"/>
      <c r="E351" s="352"/>
      <c r="F351" s="352"/>
      <c r="G351" s="680">
        <f>SUM(G352)</f>
        <v>6400</v>
      </c>
      <c r="H351" s="680">
        <f t="shared" ref="H351:W351" si="132">SUM(H352)</f>
        <v>0</v>
      </c>
      <c r="I351" s="680">
        <f t="shared" si="132"/>
        <v>0</v>
      </c>
      <c r="J351" s="680">
        <f t="shared" si="132"/>
        <v>6400</v>
      </c>
      <c r="K351" s="680">
        <f t="shared" si="132"/>
        <v>0</v>
      </c>
      <c r="L351" s="680">
        <f t="shared" si="132"/>
        <v>4900</v>
      </c>
      <c r="M351" s="680">
        <f t="shared" si="132"/>
        <v>0</v>
      </c>
      <c r="N351" s="680">
        <f t="shared" si="132"/>
        <v>0</v>
      </c>
      <c r="O351" s="680">
        <f t="shared" si="132"/>
        <v>4900</v>
      </c>
      <c r="P351" s="680">
        <f t="shared" si="132"/>
        <v>0</v>
      </c>
      <c r="Q351" s="680">
        <f t="shared" si="132"/>
        <v>1500</v>
      </c>
      <c r="R351" s="680">
        <f t="shared" si="132"/>
        <v>1500</v>
      </c>
      <c r="S351" s="680">
        <f t="shared" si="132"/>
        <v>0</v>
      </c>
      <c r="T351" s="680">
        <f t="shared" si="132"/>
        <v>0</v>
      </c>
      <c r="U351" s="680">
        <f t="shared" si="132"/>
        <v>0</v>
      </c>
      <c r="V351" s="680">
        <f t="shared" si="132"/>
        <v>0</v>
      </c>
      <c r="W351" s="680">
        <f t="shared" si="132"/>
        <v>0</v>
      </c>
      <c r="X351" s="351"/>
      <c r="AA351" s="598"/>
      <c r="AB351" s="598"/>
      <c r="AC351" s="598"/>
    </row>
    <row r="352" spans="1:29" ht="81.75" customHeight="1">
      <c r="A352" s="224"/>
      <c r="B352" s="606" t="s">
        <v>758</v>
      </c>
      <c r="C352" s="607" t="s">
        <v>893</v>
      </c>
      <c r="D352" s="239"/>
      <c r="E352" s="239"/>
      <c r="F352" s="608" t="s">
        <v>1568</v>
      </c>
      <c r="G352" s="578">
        <f t="shared" si="130"/>
        <v>6400</v>
      </c>
      <c r="H352" s="239"/>
      <c r="I352" s="239"/>
      <c r="J352" s="609">
        <v>6400</v>
      </c>
      <c r="K352" s="239"/>
      <c r="L352" s="578">
        <f t="shared" si="131"/>
        <v>4900</v>
      </c>
      <c r="M352" s="239"/>
      <c r="N352" s="239"/>
      <c r="O352" s="609">
        <v>4900</v>
      </c>
      <c r="P352" s="239"/>
      <c r="Q352" s="266">
        <f t="shared" ref="Q352:Q358" si="133">SUM(R352:W352)</f>
        <v>1500</v>
      </c>
      <c r="R352" s="609">
        <v>1500</v>
      </c>
      <c r="S352" s="239"/>
      <c r="T352" s="609"/>
      <c r="U352" s="239"/>
      <c r="V352" s="239"/>
      <c r="W352" s="239"/>
      <c r="X352" s="608" t="s">
        <v>917</v>
      </c>
      <c r="AA352" s="593" t="s">
        <v>905</v>
      </c>
    </row>
    <row r="353" spans="1:29" s="354" customFormat="1" ht="33" customHeight="1">
      <c r="A353" s="351" t="s">
        <v>25</v>
      </c>
      <c r="B353" s="612" t="s">
        <v>717</v>
      </c>
      <c r="C353" s="611"/>
      <c r="D353" s="352"/>
      <c r="E353" s="352"/>
      <c r="F353" s="352"/>
      <c r="G353" s="681">
        <f>SUM(G354)</f>
        <v>151000</v>
      </c>
      <c r="H353" s="681">
        <f t="shared" ref="H353:W353" si="134">SUM(H354)</f>
        <v>0</v>
      </c>
      <c r="I353" s="681">
        <f t="shared" si="134"/>
        <v>0</v>
      </c>
      <c r="J353" s="681">
        <f t="shared" si="134"/>
        <v>151000</v>
      </c>
      <c r="K353" s="681">
        <f t="shared" si="134"/>
        <v>0</v>
      </c>
      <c r="L353" s="683">
        <f t="shared" si="134"/>
        <v>139000</v>
      </c>
      <c r="M353" s="683">
        <f t="shared" si="134"/>
        <v>0</v>
      </c>
      <c r="N353" s="683">
        <f t="shared" si="134"/>
        <v>0</v>
      </c>
      <c r="O353" s="683">
        <f t="shared" si="134"/>
        <v>139000</v>
      </c>
      <c r="P353" s="681">
        <f t="shared" si="134"/>
        <v>0</v>
      </c>
      <c r="Q353" s="681">
        <f t="shared" si="134"/>
        <v>10000</v>
      </c>
      <c r="R353" s="681">
        <f t="shared" si="134"/>
        <v>5000</v>
      </c>
      <c r="S353" s="681">
        <f t="shared" si="134"/>
        <v>0</v>
      </c>
      <c r="T353" s="681">
        <f t="shared" si="134"/>
        <v>5000</v>
      </c>
      <c r="U353" s="681">
        <f t="shared" si="134"/>
        <v>0</v>
      </c>
      <c r="V353" s="681">
        <f t="shared" si="134"/>
        <v>0</v>
      </c>
      <c r="W353" s="681">
        <f t="shared" si="134"/>
        <v>0</v>
      </c>
      <c r="X353" s="351"/>
      <c r="AA353" s="598"/>
      <c r="AB353" s="598"/>
      <c r="AC353" s="598"/>
    </row>
    <row r="354" spans="1:29" ht="125.25" customHeight="1">
      <c r="A354" s="224"/>
      <c r="B354" s="606" t="s">
        <v>759</v>
      </c>
      <c r="C354" s="607" t="s">
        <v>894</v>
      </c>
      <c r="D354" s="239"/>
      <c r="E354" s="239"/>
      <c r="F354" s="608" t="s">
        <v>1569</v>
      </c>
      <c r="G354" s="578">
        <f t="shared" si="130"/>
        <v>151000</v>
      </c>
      <c r="H354" s="239"/>
      <c r="I354" s="239"/>
      <c r="J354" s="609">
        <v>151000</v>
      </c>
      <c r="K354" s="239"/>
      <c r="L354" s="581">
        <f t="shared" si="131"/>
        <v>139000</v>
      </c>
      <c r="M354" s="239"/>
      <c r="N354" s="239"/>
      <c r="O354" s="609">
        <v>139000</v>
      </c>
      <c r="P354" s="239"/>
      <c r="Q354" s="266">
        <f t="shared" si="133"/>
        <v>10000</v>
      </c>
      <c r="R354" s="609">
        <v>5000</v>
      </c>
      <c r="S354" s="239"/>
      <c r="T354" s="609">
        <v>5000</v>
      </c>
      <c r="U354" s="239"/>
      <c r="V354" s="239"/>
      <c r="W354" s="239"/>
      <c r="X354" s="608" t="s">
        <v>717</v>
      </c>
    </row>
    <row r="355" spans="1:29" s="354" customFormat="1">
      <c r="A355" s="684" t="s">
        <v>26</v>
      </c>
      <c r="B355" s="636" t="s">
        <v>920</v>
      </c>
      <c r="C355" s="630"/>
      <c r="D355" s="684"/>
      <c r="E355" s="684"/>
      <c r="F355" s="684"/>
      <c r="G355" s="685">
        <f>SUM(G356)</f>
        <v>13914</v>
      </c>
      <c r="H355" s="685">
        <f t="shared" ref="H355:W355" si="135">SUM(H356)</f>
        <v>0</v>
      </c>
      <c r="I355" s="685">
        <f t="shared" si="135"/>
        <v>0</v>
      </c>
      <c r="J355" s="685">
        <f t="shared" si="135"/>
        <v>13914</v>
      </c>
      <c r="K355" s="685">
        <f t="shared" si="135"/>
        <v>0</v>
      </c>
      <c r="L355" s="685">
        <f t="shared" si="135"/>
        <v>12000</v>
      </c>
      <c r="M355" s="685">
        <f t="shared" si="135"/>
        <v>0</v>
      </c>
      <c r="N355" s="685">
        <f t="shared" si="135"/>
        <v>0</v>
      </c>
      <c r="O355" s="685">
        <f t="shared" si="135"/>
        <v>12000</v>
      </c>
      <c r="P355" s="685">
        <f t="shared" si="135"/>
        <v>0</v>
      </c>
      <c r="Q355" s="685">
        <f t="shared" si="135"/>
        <v>1914</v>
      </c>
      <c r="R355" s="685">
        <f t="shared" si="135"/>
        <v>0</v>
      </c>
      <c r="S355" s="685">
        <f t="shared" si="135"/>
        <v>0</v>
      </c>
      <c r="T355" s="685">
        <f t="shared" si="135"/>
        <v>1914</v>
      </c>
      <c r="U355" s="685">
        <f t="shared" si="135"/>
        <v>0</v>
      </c>
      <c r="V355" s="685">
        <f t="shared" si="135"/>
        <v>0</v>
      </c>
      <c r="W355" s="685">
        <f t="shared" si="135"/>
        <v>0</v>
      </c>
      <c r="X355" s="684"/>
      <c r="AA355" s="598"/>
      <c r="AB355" s="598"/>
      <c r="AC355" s="598"/>
    </row>
    <row r="356" spans="1:29" ht="63">
      <c r="A356" s="224"/>
      <c r="B356" s="631" t="s">
        <v>1570</v>
      </c>
      <c r="C356" s="632" t="s">
        <v>947</v>
      </c>
      <c r="D356" s="239"/>
      <c r="E356" s="239"/>
      <c r="F356" s="637" t="s">
        <v>1571</v>
      </c>
      <c r="G356" s="578">
        <f t="shared" si="130"/>
        <v>13914</v>
      </c>
      <c r="H356" s="239"/>
      <c r="I356" s="239"/>
      <c r="J356" s="633">
        <v>13914</v>
      </c>
      <c r="K356" s="239"/>
      <c r="L356" s="581">
        <f t="shared" si="131"/>
        <v>12000</v>
      </c>
      <c r="M356" s="239"/>
      <c r="N356" s="239"/>
      <c r="O356" s="633">
        <v>12000</v>
      </c>
      <c r="P356" s="239"/>
      <c r="Q356" s="266">
        <f t="shared" si="133"/>
        <v>1914</v>
      </c>
      <c r="R356" s="239"/>
      <c r="S356" s="239"/>
      <c r="T356" s="609">
        <v>1914</v>
      </c>
      <c r="U356" s="239"/>
      <c r="V356" s="239"/>
      <c r="W356" s="239"/>
      <c r="X356" s="632" t="s">
        <v>920</v>
      </c>
    </row>
    <row r="357" spans="1:29" s="354" customFormat="1">
      <c r="A357" s="351" t="s">
        <v>343</v>
      </c>
      <c r="B357" s="636" t="s">
        <v>915</v>
      </c>
      <c r="C357" s="294"/>
      <c r="D357" s="352"/>
      <c r="E357" s="352"/>
      <c r="F357" s="352"/>
      <c r="G357" s="680">
        <f>SUM(G358)</f>
        <v>19000</v>
      </c>
      <c r="H357" s="680">
        <f t="shared" ref="H357:V357" si="136">SUM(H358)</f>
        <v>0</v>
      </c>
      <c r="I357" s="680">
        <f t="shared" si="136"/>
        <v>0</v>
      </c>
      <c r="J357" s="680">
        <f t="shared" si="136"/>
        <v>19000</v>
      </c>
      <c r="K357" s="680">
        <f t="shared" si="136"/>
        <v>0</v>
      </c>
      <c r="L357" s="680">
        <f t="shared" si="136"/>
        <v>17500</v>
      </c>
      <c r="M357" s="680">
        <f t="shared" si="136"/>
        <v>0</v>
      </c>
      <c r="N357" s="680">
        <f t="shared" si="136"/>
        <v>0</v>
      </c>
      <c r="O357" s="680">
        <f t="shared" si="136"/>
        <v>17500</v>
      </c>
      <c r="P357" s="680">
        <f t="shared" si="136"/>
        <v>0</v>
      </c>
      <c r="Q357" s="680">
        <f t="shared" si="136"/>
        <v>600</v>
      </c>
      <c r="R357" s="680">
        <f t="shared" si="136"/>
        <v>600</v>
      </c>
      <c r="S357" s="680">
        <f t="shared" si="136"/>
        <v>0</v>
      </c>
      <c r="T357" s="680">
        <f t="shared" si="136"/>
        <v>0</v>
      </c>
      <c r="U357" s="680">
        <f t="shared" si="136"/>
        <v>0</v>
      </c>
      <c r="V357" s="680">
        <f t="shared" si="136"/>
        <v>0</v>
      </c>
      <c r="W357" s="352"/>
      <c r="X357" s="351"/>
      <c r="AA357" s="598"/>
      <c r="AB357" s="598"/>
      <c r="AC357" s="598"/>
    </row>
    <row r="358" spans="1:29" ht="56.25">
      <c r="A358" s="224"/>
      <c r="B358" s="631" t="s">
        <v>1572</v>
      </c>
      <c r="C358" s="632" t="s">
        <v>947</v>
      </c>
      <c r="D358" s="239"/>
      <c r="E358" s="239"/>
      <c r="F358" s="632" t="s">
        <v>1573</v>
      </c>
      <c r="G358" s="578">
        <f t="shared" si="130"/>
        <v>19000</v>
      </c>
      <c r="H358" s="239"/>
      <c r="I358" s="239"/>
      <c r="J358" s="633">
        <v>19000</v>
      </c>
      <c r="K358" s="239"/>
      <c r="L358" s="581">
        <f t="shared" si="131"/>
        <v>17500</v>
      </c>
      <c r="M358" s="239"/>
      <c r="N358" s="239"/>
      <c r="O358" s="633">
        <v>17500</v>
      </c>
      <c r="P358" s="239"/>
      <c r="Q358" s="266">
        <f t="shared" si="133"/>
        <v>600</v>
      </c>
      <c r="R358" s="609">
        <v>600</v>
      </c>
      <c r="S358" s="239"/>
      <c r="T358" s="239"/>
      <c r="U358" s="239"/>
      <c r="V358" s="239"/>
      <c r="W358" s="239"/>
      <c r="X358" s="632" t="s">
        <v>915</v>
      </c>
    </row>
    <row r="359" spans="1:29">
      <c r="A359" s="224"/>
      <c r="B359" s="239"/>
      <c r="C359" s="238"/>
      <c r="D359" s="239"/>
      <c r="E359" s="239"/>
      <c r="F359" s="239"/>
      <c r="G359" s="239"/>
      <c r="H359" s="239"/>
      <c r="I359" s="239"/>
      <c r="J359" s="239"/>
      <c r="K359" s="239"/>
      <c r="L359" s="239"/>
      <c r="M359" s="239"/>
      <c r="N359" s="239"/>
      <c r="O359" s="239"/>
      <c r="P359" s="239"/>
      <c r="Q359" s="239"/>
      <c r="R359" s="239"/>
      <c r="S359" s="239"/>
      <c r="T359" s="239"/>
      <c r="U359" s="239"/>
      <c r="V359" s="239"/>
      <c r="W359" s="239"/>
      <c r="X359" s="224"/>
    </row>
    <row r="360" spans="1:29" s="354" customFormat="1" ht="31.5">
      <c r="A360" s="351" t="s">
        <v>346</v>
      </c>
      <c r="B360" s="610" t="s">
        <v>1067</v>
      </c>
      <c r="C360" s="294"/>
      <c r="D360" s="352"/>
      <c r="E360" s="352"/>
      <c r="F360" s="352"/>
      <c r="G360" s="353">
        <f>SUM(G361:G369)</f>
        <v>443320</v>
      </c>
      <c r="H360" s="353">
        <f t="shared" ref="H360:V360" si="137">SUM(H361:H369)</f>
        <v>0</v>
      </c>
      <c r="I360" s="353">
        <f t="shared" si="137"/>
        <v>0</v>
      </c>
      <c r="J360" s="353">
        <f t="shared" si="137"/>
        <v>443320</v>
      </c>
      <c r="K360" s="353">
        <f t="shared" si="137"/>
        <v>0</v>
      </c>
      <c r="L360" s="353">
        <f t="shared" si="137"/>
        <v>295717</v>
      </c>
      <c r="M360" s="353">
        <f t="shared" si="137"/>
        <v>0</v>
      </c>
      <c r="N360" s="353">
        <f t="shared" si="137"/>
        <v>0</v>
      </c>
      <c r="O360" s="353">
        <f t="shared" si="137"/>
        <v>295717</v>
      </c>
      <c r="P360" s="353">
        <f t="shared" si="137"/>
        <v>0</v>
      </c>
      <c r="Q360" s="353">
        <f t="shared" si="137"/>
        <v>57004</v>
      </c>
      <c r="R360" s="353">
        <f t="shared" si="137"/>
        <v>10800</v>
      </c>
      <c r="S360" s="353">
        <f t="shared" si="137"/>
        <v>0</v>
      </c>
      <c r="T360" s="353">
        <f>SUM(T361:T369)</f>
        <v>46204</v>
      </c>
      <c r="U360" s="353">
        <f t="shared" si="137"/>
        <v>0</v>
      </c>
      <c r="V360" s="353">
        <f t="shared" si="137"/>
        <v>0</v>
      </c>
      <c r="W360" s="353">
        <f t="shared" ref="W360" si="138">SUM(W361:W368)</f>
        <v>0</v>
      </c>
      <c r="X360" s="351"/>
      <c r="AA360" s="598"/>
      <c r="AB360" s="598"/>
      <c r="AC360" s="598"/>
    </row>
    <row r="361" spans="1:29" s="281" customFormat="1" ht="67.5" customHeight="1">
      <c r="A361" s="238"/>
      <c r="B361" s="606" t="s">
        <v>1574</v>
      </c>
      <c r="C361" s="607" t="s">
        <v>968</v>
      </c>
      <c r="D361" s="254"/>
      <c r="E361" s="254"/>
      <c r="F361" s="608" t="s">
        <v>1575</v>
      </c>
      <c r="G361" s="197">
        <f>SUM(H361:K361)</f>
        <v>2970</v>
      </c>
      <c r="H361" s="197"/>
      <c r="I361" s="197"/>
      <c r="J361" s="609">
        <v>2970</v>
      </c>
      <c r="K361" s="197"/>
      <c r="L361" s="197">
        <f>SUM(M361:P361)</f>
        <v>2266</v>
      </c>
      <c r="M361" s="197"/>
      <c r="N361" s="197"/>
      <c r="O361" s="609">
        <v>2266</v>
      </c>
      <c r="P361" s="197"/>
      <c r="Q361" s="181">
        <f>SUM(R361:W361)</f>
        <v>704</v>
      </c>
      <c r="R361" s="197"/>
      <c r="S361" s="197"/>
      <c r="T361" s="609">
        <v>704</v>
      </c>
      <c r="U361" s="197"/>
      <c r="V361" s="197"/>
      <c r="W361" s="197"/>
      <c r="X361" s="608" t="s">
        <v>1067</v>
      </c>
      <c r="Y361" s="232"/>
      <c r="Z361" s="232"/>
      <c r="AA361" s="596" t="s">
        <v>905</v>
      </c>
      <c r="AB361" s="596"/>
      <c r="AC361" s="596"/>
    </row>
    <row r="362" spans="1:29" s="281" customFormat="1" ht="67.5" customHeight="1">
      <c r="A362" s="238"/>
      <c r="B362" s="606" t="s">
        <v>1576</v>
      </c>
      <c r="C362" s="607" t="s">
        <v>814</v>
      </c>
      <c r="D362" s="254"/>
      <c r="E362" s="254"/>
      <c r="F362" s="608" t="s">
        <v>1577</v>
      </c>
      <c r="G362" s="197">
        <f>SUM(H362:K362)</f>
        <v>80000</v>
      </c>
      <c r="H362" s="197"/>
      <c r="I362" s="197"/>
      <c r="J362" s="609">
        <v>80000</v>
      </c>
      <c r="K362" s="197"/>
      <c r="L362" s="197">
        <f>SUM(M362:P362)</f>
        <v>34700</v>
      </c>
      <c r="M362" s="197"/>
      <c r="N362" s="197"/>
      <c r="O362" s="609">
        <v>34700</v>
      </c>
      <c r="P362" s="197"/>
      <c r="Q362" s="181">
        <f>SUM(R362:W362)</f>
        <v>1100</v>
      </c>
      <c r="R362" s="609">
        <v>1100</v>
      </c>
      <c r="S362" s="197"/>
      <c r="T362" s="609"/>
      <c r="U362" s="197"/>
      <c r="V362" s="197"/>
      <c r="W362" s="197"/>
      <c r="X362" s="608" t="s">
        <v>1067</v>
      </c>
      <c r="Y362" s="232"/>
      <c r="Z362" s="232"/>
      <c r="AA362" s="596" t="s">
        <v>905</v>
      </c>
      <c r="AB362" s="596"/>
      <c r="AC362" s="596"/>
    </row>
    <row r="363" spans="1:29" ht="69" customHeight="1">
      <c r="A363" s="224"/>
      <c r="B363" s="606" t="s">
        <v>1578</v>
      </c>
      <c r="C363" s="607" t="s">
        <v>968</v>
      </c>
      <c r="D363" s="239"/>
      <c r="E363" s="239"/>
      <c r="F363" s="608" t="s">
        <v>1579</v>
      </c>
      <c r="G363" s="197">
        <f t="shared" ref="G363:G373" si="139">SUM(H363:K363)</f>
        <v>22000</v>
      </c>
      <c r="H363" s="239"/>
      <c r="I363" s="239"/>
      <c r="J363" s="609">
        <v>22000</v>
      </c>
      <c r="K363" s="239"/>
      <c r="L363" s="197">
        <f t="shared" ref="L363:L373" si="140">SUM(M363:P363)</f>
        <v>21000</v>
      </c>
      <c r="M363" s="239"/>
      <c r="N363" s="239"/>
      <c r="O363" s="609">
        <v>21000</v>
      </c>
      <c r="P363" s="239"/>
      <c r="Q363" s="181">
        <f t="shared" ref="Q363:Q373" si="141">SUM(R363:W363)</f>
        <v>500</v>
      </c>
      <c r="R363" s="609">
        <v>500</v>
      </c>
      <c r="S363" s="239"/>
      <c r="T363" s="239"/>
      <c r="U363" s="239"/>
      <c r="V363" s="239"/>
      <c r="W363" s="239"/>
      <c r="X363" s="608" t="s">
        <v>1067</v>
      </c>
      <c r="AA363" s="596" t="s">
        <v>905</v>
      </c>
    </row>
    <row r="364" spans="1:29" ht="69" customHeight="1">
      <c r="A364" s="224"/>
      <c r="B364" s="606" t="s">
        <v>1580</v>
      </c>
      <c r="C364" s="607" t="s">
        <v>976</v>
      </c>
      <c r="D364" s="239"/>
      <c r="E364" s="239"/>
      <c r="F364" s="608" t="s">
        <v>1581</v>
      </c>
      <c r="G364" s="197">
        <f t="shared" si="139"/>
        <v>13500</v>
      </c>
      <c r="H364" s="239"/>
      <c r="I364" s="239"/>
      <c r="J364" s="609">
        <v>13500</v>
      </c>
      <c r="K364" s="239"/>
      <c r="L364" s="197">
        <f t="shared" si="140"/>
        <v>10000</v>
      </c>
      <c r="M364" s="239"/>
      <c r="N364" s="239"/>
      <c r="O364" s="609">
        <v>10000</v>
      </c>
      <c r="P364" s="239"/>
      <c r="Q364" s="181">
        <f t="shared" si="141"/>
        <v>2100</v>
      </c>
      <c r="R364" s="609">
        <v>2100</v>
      </c>
      <c r="S364" s="239"/>
      <c r="T364" s="239"/>
      <c r="U364" s="239"/>
      <c r="V364" s="239"/>
      <c r="W364" s="239"/>
      <c r="X364" s="608" t="s">
        <v>1067</v>
      </c>
      <c r="AA364" s="596" t="s">
        <v>905</v>
      </c>
    </row>
    <row r="365" spans="1:29" ht="69" customHeight="1">
      <c r="A365" s="224"/>
      <c r="B365" s="606" t="s">
        <v>1582</v>
      </c>
      <c r="C365" s="607" t="s">
        <v>954</v>
      </c>
      <c r="D365" s="239"/>
      <c r="E365" s="239"/>
      <c r="F365" s="608" t="s">
        <v>1583</v>
      </c>
      <c r="G365" s="197">
        <f t="shared" si="139"/>
        <v>13500</v>
      </c>
      <c r="H365" s="239"/>
      <c r="I365" s="239"/>
      <c r="J365" s="609">
        <v>13500</v>
      </c>
      <c r="K365" s="239"/>
      <c r="L365" s="197">
        <f t="shared" si="140"/>
        <v>10000</v>
      </c>
      <c r="M365" s="239"/>
      <c r="N365" s="239"/>
      <c r="O365" s="609">
        <v>10000</v>
      </c>
      <c r="P365" s="239"/>
      <c r="Q365" s="181">
        <f t="shared" si="141"/>
        <v>2100</v>
      </c>
      <c r="R365" s="609">
        <v>2100</v>
      </c>
      <c r="S365" s="239"/>
      <c r="T365" s="239"/>
      <c r="U365" s="239"/>
      <c r="V365" s="239"/>
      <c r="W365" s="239"/>
      <c r="X365" s="608" t="s">
        <v>1067</v>
      </c>
      <c r="AA365" s="596" t="s">
        <v>905</v>
      </c>
    </row>
    <row r="366" spans="1:29" ht="64.5" customHeight="1">
      <c r="A366" s="224"/>
      <c r="B366" s="606" t="s">
        <v>1584</v>
      </c>
      <c r="C366" s="607" t="s">
        <v>994</v>
      </c>
      <c r="D366" s="239"/>
      <c r="E366" s="239"/>
      <c r="F366" s="608" t="s">
        <v>1585</v>
      </c>
      <c r="G366" s="197">
        <f t="shared" si="139"/>
        <v>13500</v>
      </c>
      <c r="H366" s="239"/>
      <c r="I366" s="239"/>
      <c r="J366" s="609">
        <v>13500</v>
      </c>
      <c r="K366" s="239"/>
      <c r="L366" s="197">
        <f t="shared" si="140"/>
        <v>7000</v>
      </c>
      <c r="M366" s="239"/>
      <c r="N366" s="239"/>
      <c r="O366" s="609">
        <v>7000</v>
      </c>
      <c r="P366" s="239"/>
      <c r="Q366" s="181">
        <f t="shared" si="141"/>
        <v>5000</v>
      </c>
      <c r="R366" s="609">
        <v>5000</v>
      </c>
      <c r="S366" s="239"/>
      <c r="T366" s="239"/>
      <c r="U366" s="239"/>
      <c r="V366" s="239"/>
      <c r="W366" s="239"/>
      <c r="X366" s="608" t="s">
        <v>1067</v>
      </c>
      <c r="AA366" s="596" t="s">
        <v>905</v>
      </c>
    </row>
    <row r="367" spans="1:29" ht="94.5">
      <c r="A367" s="224"/>
      <c r="B367" s="606" t="s">
        <v>1586</v>
      </c>
      <c r="C367" s="607" t="s">
        <v>968</v>
      </c>
      <c r="D367" s="239"/>
      <c r="E367" s="239"/>
      <c r="F367" s="608" t="s">
        <v>1587</v>
      </c>
      <c r="G367" s="197">
        <f t="shared" si="139"/>
        <v>65000</v>
      </c>
      <c r="H367" s="239"/>
      <c r="I367" s="239"/>
      <c r="J367" s="609">
        <v>65000</v>
      </c>
      <c r="K367" s="239"/>
      <c r="L367" s="197">
        <f t="shared" si="140"/>
        <v>34400</v>
      </c>
      <c r="M367" s="239"/>
      <c r="N367" s="239"/>
      <c r="O367" s="649">
        <v>34400</v>
      </c>
      <c r="P367" s="239"/>
      <c r="Q367" s="181">
        <f t="shared" si="141"/>
        <v>5000</v>
      </c>
      <c r="R367" s="239"/>
      <c r="S367" s="239"/>
      <c r="T367" s="649">
        <v>5000</v>
      </c>
      <c r="U367" s="239"/>
      <c r="V367" s="239"/>
      <c r="W367" s="239"/>
      <c r="X367" s="608" t="s">
        <v>1067</v>
      </c>
      <c r="AA367" s="593" t="s">
        <v>905</v>
      </c>
    </row>
    <row r="368" spans="1:29" ht="56.25" customHeight="1">
      <c r="A368" s="224"/>
      <c r="B368" s="606" t="s">
        <v>1588</v>
      </c>
      <c r="C368" s="607" t="s">
        <v>968</v>
      </c>
      <c r="D368" s="239"/>
      <c r="E368" s="239"/>
      <c r="F368" s="608" t="s">
        <v>1589</v>
      </c>
      <c r="G368" s="197">
        <f t="shared" si="139"/>
        <v>35000</v>
      </c>
      <c r="H368" s="239"/>
      <c r="I368" s="239"/>
      <c r="J368" s="609">
        <v>35000</v>
      </c>
      <c r="K368" s="239"/>
      <c r="L368" s="197">
        <f t="shared" si="140"/>
        <v>31200</v>
      </c>
      <c r="M368" s="239"/>
      <c r="N368" s="239"/>
      <c r="O368" s="649">
        <v>31200</v>
      </c>
      <c r="P368" s="239"/>
      <c r="Q368" s="181">
        <f t="shared" si="141"/>
        <v>500</v>
      </c>
      <c r="R368" s="239"/>
      <c r="S368" s="239"/>
      <c r="T368" s="649">
        <v>500</v>
      </c>
      <c r="U368" s="239"/>
      <c r="V368" s="239"/>
      <c r="W368" s="239"/>
      <c r="X368" s="608" t="s">
        <v>1067</v>
      </c>
      <c r="AA368" s="593" t="s">
        <v>905</v>
      </c>
    </row>
    <row r="369" spans="1:29" ht="93.75" customHeight="1">
      <c r="A369" s="224"/>
      <c r="B369" s="606" t="s">
        <v>1590</v>
      </c>
      <c r="C369" s="607" t="s">
        <v>1046</v>
      </c>
      <c r="D369" s="239"/>
      <c r="E369" s="239"/>
      <c r="F369" s="608" t="s">
        <v>1591</v>
      </c>
      <c r="G369" s="197">
        <f t="shared" si="139"/>
        <v>197850</v>
      </c>
      <c r="H369" s="239"/>
      <c r="I369" s="239"/>
      <c r="J369" s="609">
        <v>197850</v>
      </c>
      <c r="K369" s="239"/>
      <c r="L369" s="197">
        <f t="shared" si="140"/>
        <v>145151</v>
      </c>
      <c r="M369" s="239"/>
      <c r="N369" s="239"/>
      <c r="O369" s="609">
        <v>145151</v>
      </c>
      <c r="P369" s="239"/>
      <c r="Q369" s="181">
        <f t="shared" si="141"/>
        <v>40000</v>
      </c>
      <c r="R369" s="239"/>
      <c r="S369" s="239"/>
      <c r="T369" s="609">
        <v>40000</v>
      </c>
      <c r="U369" s="239"/>
      <c r="V369" s="239"/>
      <c r="W369" s="239"/>
      <c r="X369" s="608" t="s">
        <v>1067</v>
      </c>
      <c r="AA369" s="593" t="s">
        <v>905</v>
      </c>
    </row>
    <row r="370" spans="1:29" s="354" customFormat="1" ht="42" customHeight="1">
      <c r="A370" s="351"/>
      <c r="B370" s="610" t="s">
        <v>1110</v>
      </c>
      <c r="C370" s="611"/>
      <c r="D370" s="352"/>
      <c r="E370" s="352"/>
      <c r="F370" s="612"/>
      <c r="G370" s="295">
        <f>G371</f>
        <v>250000</v>
      </c>
      <c r="H370" s="295">
        <f t="shared" ref="H370:W370" si="142">H371</f>
        <v>0</v>
      </c>
      <c r="I370" s="295">
        <f t="shared" si="142"/>
        <v>0</v>
      </c>
      <c r="J370" s="295">
        <f t="shared" si="142"/>
        <v>250000</v>
      </c>
      <c r="K370" s="295">
        <f t="shared" si="142"/>
        <v>0</v>
      </c>
      <c r="L370" s="295">
        <f t="shared" si="142"/>
        <v>9212</v>
      </c>
      <c r="M370" s="295">
        <f t="shared" si="142"/>
        <v>0</v>
      </c>
      <c r="N370" s="295">
        <f t="shared" si="142"/>
        <v>0</v>
      </c>
      <c r="O370" s="295">
        <f t="shared" si="142"/>
        <v>9212</v>
      </c>
      <c r="P370" s="295">
        <f t="shared" si="142"/>
        <v>0</v>
      </c>
      <c r="Q370" s="295">
        <f t="shared" si="142"/>
        <v>25000</v>
      </c>
      <c r="R370" s="295">
        <f t="shared" si="142"/>
        <v>5000</v>
      </c>
      <c r="S370" s="295">
        <f t="shared" si="142"/>
        <v>0</v>
      </c>
      <c r="T370" s="295">
        <f t="shared" si="142"/>
        <v>20000</v>
      </c>
      <c r="U370" s="295">
        <f t="shared" si="142"/>
        <v>0</v>
      </c>
      <c r="V370" s="295">
        <f t="shared" si="142"/>
        <v>0</v>
      </c>
      <c r="W370" s="295">
        <f t="shared" si="142"/>
        <v>0</v>
      </c>
      <c r="X370" s="612"/>
      <c r="AA370" s="598"/>
      <c r="AB370" s="598"/>
      <c r="AC370" s="598"/>
    </row>
    <row r="371" spans="1:29" ht="54" customHeight="1">
      <c r="A371" s="224"/>
      <c r="B371" s="606" t="s">
        <v>756</v>
      </c>
      <c r="C371" s="607" t="s">
        <v>893</v>
      </c>
      <c r="D371" s="239"/>
      <c r="E371" s="239"/>
      <c r="F371" s="608" t="s">
        <v>1592</v>
      </c>
      <c r="G371" s="197">
        <f t="shared" si="139"/>
        <v>250000</v>
      </c>
      <c r="H371" s="239"/>
      <c r="I371" s="239"/>
      <c r="J371" s="609">
        <v>250000</v>
      </c>
      <c r="K371" s="239"/>
      <c r="L371" s="197">
        <f t="shared" si="140"/>
        <v>9212</v>
      </c>
      <c r="M371" s="239"/>
      <c r="N371" s="239"/>
      <c r="O371" s="609">
        <v>9212</v>
      </c>
      <c r="P371" s="239"/>
      <c r="Q371" s="181">
        <f t="shared" si="141"/>
        <v>25000</v>
      </c>
      <c r="R371" s="609">
        <v>5000</v>
      </c>
      <c r="S371" s="239"/>
      <c r="T371" s="609">
        <v>20000</v>
      </c>
      <c r="U371" s="239"/>
      <c r="V371" s="239"/>
      <c r="W371" s="239"/>
      <c r="X371" s="608" t="s">
        <v>1110</v>
      </c>
    </row>
    <row r="372" spans="1:29" s="354" customFormat="1" ht="31.5">
      <c r="A372" s="351" t="s">
        <v>410</v>
      </c>
      <c r="B372" s="610" t="s">
        <v>925</v>
      </c>
      <c r="C372" s="294"/>
      <c r="D372" s="352"/>
      <c r="E372" s="352"/>
      <c r="F372" s="352"/>
      <c r="G372" s="295">
        <f>G373</f>
        <v>200000</v>
      </c>
      <c r="H372" s="295">
        <f t="shared" ref="H372:W372" si="143">H373</f>
        <v>0</v>
      </c>
      <c r="I372" s="295">
        <f t="shared" si="143"/>
        <v>0</v>
      </c>
      <c r="J372" s="295">
        <f t="shared" si="143"/>
        <v>200000</v>
      </c>
      <c r="K372" s="295">
        <f t="shared" si="143"/>
        <v>0</v>
      </c>
      <c r="L372" s="295">
        <f t="shared" si="143"/>
        <v>128373</v>
      </c>
      <c r="M372" s="295">
        <f t="shared" si="143"/>
        <v>0</v>
      </c>
      <c r="N372" s="295">
        <f t="shared" si="143"/>
        <v>0</v>
      </c>
      <c r="O372" s="295">
        <f t="shared" si="143"/>
        <v>128373</v>
      </c>
      <c r="P372" s="295">
        <f t="shared" si="143"/>
        <v>0</v>
      </c>
      <c r="Q372" s="295">
        <f t="shared" si="143"/>
        <v>11627</v>
      </c>
      <c r="R372" s="295">
        <f t="shared" si="143"/>
        <v>0</v>
      </c>
      <c r="S372" s="295">
        <f t="shared" si="143"/>
        <v>0</v>
      </c>
      <c r="T372" s="295">
        <f t="shared" si="143"/>
        <v>11627</v>
      </c>
      <c r="U372" s="295">
        <f t="shared" si="143"/>
        <v>0</v>
      </c>
      <c r="V372" s="295">
        <f t="shared" si="143"/>
        <v>0</v>
      </c>
      <c r="W372" s="295">
        <f t="shared" si="143"/>
        <v>0</v>
      </c>
      <c r="X372" s="351"/>
      <c r="AA372" s="598"/>
      <c r="AB372" s="598"/>
      <c r="AC372" s="598"/>
    </row>
    <row r="373" spans="1:29" ht="54.75" customHeight="1">
      <c r="A373" s="224"/>
      <c r="B373" s="606" t="s">
        <v>1593</v>
      </c>
      <c r="C373" s="607" t="s">
        <v>976</v>
      </c>
      <c r="D373" s="239"/>
      <c r="E373" s="239"/>
      <c r="F373" s="608" t="s">
        <v>1594</v>
      </c>
      <c r="G373" s="197">
        <f t="shared" si="139"/>
        <v>200000</v>
      </c>
      <c r="H373" s="239"/>
      <c r="I373" s="239"/>
      <c r="J373" s="609">
        <v>200000</v>
      </c>
      <c r="K373" s="239"/>
      <c r="L373" s="197">
        <f t="shared" si="140"/>
        <v>128373</v>
      </c>
      <c r="M373" s="239"/>
      <c r="N373" s="239"/>
      <c r="O373" s="609">
        <v>128373</v>
      </c>
      <c r="P373" s="239"/>
      <c r="Q373" s="181">
        <f t="shared" si="141"/>
        <v>11627</v>
      </c>
      <c r="R373" s="239"/>
      <c r="S373" s="239"/>
      <c r="T373" s="609">
        <v>11627</v>
      </c>
      <c r="U373" s="239"/>
      <c r="V373" s="239"/>
      <c r="W373" s="239"/>
      <c r="X373" s="608" t="s">
        <v>925</v>
      </c>
      <c r="AA373" s="593" t="s">
        <v>905</v>
      </c>
    </row>
    <row r="374" spans="1:29" s="354" customFormat="1" ht="31.5">
      <c r="A374" s="351" t="s">
        <v>180</v>
      </c>
      <c r="B374" s="610" t="s">
        <v>928</v>
      </c>
      <c r="C374" s="294"/>
      <c r="D374" s="352"/>
      <c r="E374" s="352"/>
      <c r="F374" s="352"/>
      <c r="G374" s="353">
        <f>G376</f>
        <v>14557</v>
      </c>
      <c r="H374" s="353">
        <f t="shared" ref="H374:W374" si="144">H376</f>
        <v>0</v>
      </c>
      <c r="I374" s="353">
        <f t="shared" si="144"/>
        <v>0</v>
      </c>
      <c r="J374" s="353">
        <f t="shared" si="144"/>
        <v>14557</v>
      </c>
      <c r="K374" s="353">
        <f t="shared" si="144"/>
        <v>0</v>
      </c>
      <c r="L374" s="353">
        <f t="shared" si="144"/>
        <v>11412</v>
      </c>
      <c r="M374" s="353">
        <f t="shared" si="144"/>
        <v>0</v>
      </c>
      <c r="N374" s="353">
        <f t="shared" si="144"/>
        <v>0</v>
      </c>
      <c r="O374" s="353">
        <f t="shared" si="144"/>
        <v>11412</v>
      </c>
      <c r="P374" s="353">
        <f t="shared" si="144"/>
        <v>0</v>
      </c>
      <c r="Q374" s="353">
        <f t="shared" si="144"/>
        <v>2000</v>
      </c>
      <c r="R374" s="353">
        <f t="shared" si="144"/>
        <v>0</v>
      </c>
      <c r="S374" s="353">
        <f t="shared" si="144"/>
        <v>0</v>
      </c>
      <c r="T374" s="353">
        <f t="shared" si="144"/>
        <v>2000</v>
      </c>
      <c r="U374" s="353">
        <f t="shared" si="144"/>
        <v>0</v>
      </c>
      <c r="V374" s="353">
        <f t="shared" si="144"/>
        <v>0</v>
      </c>
      <c r="W374" s="353">
        <f t="shared" si="144"/>
        <v>0</v>
      </c>
      <c r="X374" s="351"/>
      <c r="AA374" s="598"/>
      <c r="AB374" s="598"/>
      <c r="AC374" s="598"/>
    </row>
    <row r="375" spans="1:29">
      <c r="A375" s="224"/>
      <c r="B375" s="239"/>
      <c r="C375" s="238"/>
      <c r="D375" s="239"/>
      <c r="E375" s="239"/>
      <c r="F375" s="239"/>
      <c r="G375" s="239"/>
      <c r="H375" s="239"/>
      <c r="I375" s="239"/>
      <c r="J375" s="239"/>
      <c r="K375" s="239"/>
      <c r="L375" s="239"/>
      <c r="M375" s="239"/>
      <c r="N375" s="239"/>
      <c r="O375" s="239"/>
      <c r="P375" s="239"/>
      <c r="Q375" s="239"/>
      <c r="R375" s="239"/>
      <c r="S375" s="239"/>
      <c r="T375" s="239"/>
      <c r="U375" s="239"/>
      <c r="V375" s="239"/>
      <c r="W375" s="239"/>
      <c r="X375" s="224"/>
    </row>
    <row r="376" spans="1:29" ht="56.25">
      <c r="A376" s="224"/>
      <c r="B376" s="606" t="s">
        <v>1595</v>
      </c>
      <c r="C376" s="607" t="s">
        <v>1596</v>
      </c>
      <c r="D376" s="239"/>
      <c r="E376" s="239"/>
      <c r="F376" s="608" t="s">
        <v>1597</v>
      </c>
      <c r="G376" s="197">
        <f t="shared" ref="G376" si="145">SUM(H376:K376)</f>
        <v>14557</v>
      </c>
      <c r="H376" s="239"/>
      <c r="I376" s="239"/>
      <c r="J376" s="609">
        <v>14557</v>
      </c>
      <c r="K376" s="239"/>
      <c r="L376" s="197">
        <f t="shared" ref="L376" si="146">SUM(M376:P376)</f>
        <v>11412</v>
      </c>
      <c r="M376" s="239"/>
      <c r="N376" s="239"/>
      <c r="O376" s="609">
        <v>11412</v>
      </c>
      <c r="P376" s="239"/>
      <c r="Q376" s="181">
        <f t="shared" ref="Q376" si="147">SUM(R376:W376)</f>
        <v>2000</v>
      </c>
      <c r="R376" s="239"/>
      <c r="S376" s="239"/>
      <c r="T376" s="609">
        <v>2000</v>
      </c>
      <c r="U376" s="239"/>
      <c r="V376" s="239"/>
      <c r="W376" s="239"/>
      <c r="X376" s="608" t="s">
        <v>928</v>
      </c>
    </row>
    <row r="377" spans="1:29" s="582" customFormat="1" ht="31.5">
      <c r="A377" s="684" t="s">
        <v>353</v>
      </c>
      <c r="B377" s="610" t="s">
        <v>929</v>
      </c>
      <c r="C377" s="630"/>
      <c r="D377" s="684"/>
      <c r="E377" s="684"/>
      <c r="F377" s="684"/>
      <c r="G377" s="685">
        <f>G378</f>
        <v>35000</v>
      </c>
      <c r="H377" s="685">
        <f t="shared" ref="H377:W377" si="148">H378</f>
        <v>0</v>
      </c>
      <c r="I377" s="685">
        <f t="shared" si="148"/>
        <v>0</v>
      </c>
      <c r="J377" s="685">
        <f t="shared" si="148"/>
        <v>35000</v>
      </c>
      <c r="K377" s="685">
        <f t="shared" si="148"/>
        <v>0</v>
      </c>
      <c r="L377" s="685">
        <f t="shared" si="148"/>
        <v>30700</v>
      </c>
      <c r="M377" s="685">
        <f t="shared" si="148"/>
        <v>0</v>
      </c>
      <c r="N377" s="685">
        <f t="shared" si="148"/>
        <v>0</v>
      </c>
      <c r="O377" s="685">
        <f t="shared" si="148"/>
        <v>30700</v>
      </c>
      <c r="P377" s="685">
        <f t="shared" si="148"/>
        <v>0</v>
      </c>
      <c r="Q377" s="685">
        <f t="shared" si="148"/>
        <v>900</v>
      </c>
      <c r="R377" s="685">
        <f t="shared" si="148"/>
        <v>900</v>
      </c>
      <c r="S377" s="685">
        <f t="shared" si="148"/>
        <v>0</v>
      </c>
      <c r="T377" s="685">
        <f t="shared" si="148"/>
        <v>0</v>
      </c>
      <c r="U377" s="685">
        <f t="shared" si="148"/>
        <v>0</v>
      </c>
      <c r="V377" s="685">
        <f t="shared" si="148"/>
        <v>0</v>
      </c>
      <c r="W377" s="685">
        <f t="shared" si="148"/>
        <v>0</v>
      </c>
      <c r="X377" s="684"/>
      <c r="AA377" s="602"/>
      <c r="AB377" s="602"/>
      <c r="AC377" s="602"/>
    </row>
    <row r="378" spans="1:29" ht="63">
      <c r="A378" s="224"/>
      <c r="B378" s="606" t="s">
        <v>1598</v>
      </c>
      <c r="C378" s="607" t="s">
        <v>1026</v>
      </c>
      <c r="D378" s="239"/>
      <c r="E378" s="239"/>
      <c r="F378" s="608" t="s">
        <v>1599</v>
      </c>
      <c r="G378" s="578">
        <f>SUM(H378:K378)</f>
        <v>35000</v>
      </c>
      <c r="H378" s="578"/>
      <c r="I378" s="578"/>
      <c r="J378" s="609">
        <v>35000</v>
      </c>
      <c r="K378" s="578"/>
      <c r="L378" s="578">
        <f>SUM(M378:P378)</f>
        <v>30700</v>
      </c>
      <c r="M378" s="578"/>
      <c r="N378" s="578"/>
      <c r="O378" s="609">
        <v>30700</v>
      </c>
      <c r="P378" s="578"/>
      <c r="Q378" s="578">
        <f>SUM(R378:W378)</f>
        <v>900</v>
      </c>
      <c r="R378" s="609">
        <v>900</v>
      </c>
      <c r="S378" s="578"/>
      <c r="T378" s="682"/>
      <c r="U378" s="578"/>
      <c r="V378" s="578"/>
      <c r="W378" s="578"/>
      <c r="X378" s="608" t="s">
        <v>929</v>
      </c>
    </row>
    <row r="379" spans="1:29" s="354" customFormat="1">
      <c r="A379" s="351" t="s">
        <v>358</v>
      </c>
      <c r="B379" s="612" t="s">
        <v>930</v>
      </c>
      <c r="C379" s="294"/>
      <c r="D379" s="352"/>
      <c r="E379" s="352"/>
      <c r="F379" s="352"/>
      <c r="G379" s="680">
        <f>G380</f>
        <v>22000</v>
      </c>
      <c r="H379" s="680">
        <f t="shared" ref="H379:W379" si="149">H380</f>
        <v>0</v>
      </c>
      <c r="I379" s="680">
        <f t="shared" si="149"/>
        <v>0</v>
      </c>
      <c r="J379" s="680">
        <f t="shared" si="149"/>
        <v>22000</v>
      </c>
      <c r="K379" s="680">
        <f t="shared" si="149"/>
        <v>0</v>
      </c>
      <c r="L379" s="680">
        <f t="shared" si="149"/>
        <v>20523</v>
      </c>
      <c r="M379" s="680">
        <f t="shared" si="149"/>
        <v>0</v>
      </c>
      <c r="N379" s="680">
        <f t="shared" si="149"/>
        <v>0</v>
      </c>
      <c r="O379" s="680">
        <f t="shared" si="149"/>
        <v>20523</v>
      </c>
      <c r="P379" s="680">
        <f t="shared" si="149"/>
        <v>0</v>
      </c>
      <c r="Q379" s="680">
        <f t="shared" si="149"/>
        <v>400</v>
      </c>
      <c r="R379" s="680">
        <f t="shared" si="149"/>
        <v>400</v>
      </c>
      <c r="S379" s="680">
        <f t="shared" si="149"/>
        <v>0</v>
      </c>
      <c r="T379" s="680">
        <f t="shared" si="149"/>
        <v>0</v>
      </c>
      <c r="U379" s="680">
        <f t="shared" si="149"/>
        <v>0</v>
      </c>
      <c r="V379" s="680">
        <f t="shared" si="149"/>
        <v>0</v>
      </c>
      <c r="W379" s="680">
        <f t="shared" si="149"/>
        <v>0</v>
      </c>
      <c r="X379" s="351"/>
      <c r="AA379" s="598"/>
      <c r="AB379" s="598"/>
      <c r="AC379" s="598"/>
    </row>
    <row r="380" spans="1:29" ht="63">
      <c r="A380" s="224"/>
      <c r="B380" s="606" t="s">
        <v>1600</v>
      </c>
      <c r="C380" s="607" t="s">
        <v>1046</v>
      </c>
      <c r="D380" s="239"/>
      <c r="E380" s="239"/>
      <c r="F380" s="608" t="s">
        <v>1601</v>
      </c>
      <c r="G380" s="578">
        <f>SUM(H380:K380)</f>
        <v>22000</v>
      </c>
      <c r="H380" s="239"/>
      <c r="I380" s="239"/>
      <c r="J380" s="609">
        <v>22000</v>
      </c>
      <c r="K380" s="239"/>
      <c r="L380" s="578">
        <f>SUM(M380:P380)</f>
        <v>20523</v>
      </c>
      <c r="M380" s="239"/>
      <c r="N380" s="239"/>
      <c r="O380" s="609">
        <v>20523</v>
      </c>
      <c r="P380" s="239"/>
      <c r="Q380" s="578">
        <f>SUM(R380:W380)</f>
        <v>400</v>
      </c>
      <c r="R380" s="609">
        <v>400</v>
      </c>
      <c r="S380" s="239"/>
      <c r="T380" s="239"/>
      <c r="U380" s="239"/>
      <c r="V380" s="239"/>
      <c r="W380" s="239"/>
      <c r="X380" s="608" t="s">
        <v>930</v>
      </c>
    </row>
    <row r="381" spans="1:29" s="265" customFormat="1" ht="31.5">
      <c r="A381" s="263" t="s">
        <v>413</v>
      </c>
      <c r="B381" s="686" t="s">
        <v>926</v>
      </c>
      <c r="C381" s="251"/>
      <c r="D381" s="252"/>
      <c r="E381" s="252"/>
      <c r="F381" s="252"/>
      <c r="G381" s="687">
        <f>SUM(G382:G384)</f>
        <v>28823</v>
      </c>
      <c r="H381" s="687">
        <f t="shared" ref="H381:W381" si="150">SUM(H382:H384)</f>
        <v>0</v>
      </c>
      <c r="I381" s="687">
        <f t="shared" si="150"/>
        <v>0</v>
      </c>
      <c r="J381" s="687">
        <f t="shared" si="150"/>
        <v>28823</v>
      </c>
      <c r="K381" s="687">
        <f t="shared" si="150"/>
        <v>0</v>
      </c>
      <c r="L381" s="687">
        <f t="shared" si="150"/>
        <v>25700</v>
      </c>
      <c r="M381" s="687">
        <f t="shared" si="150"/>
        <v>0</v>
      </c>
      <c r="N381" s="687">
        <f t="shared" si="150"/>
        <v>0</v>
      </c>
      <c r="O381" s="687">
        <f t="shared" si="150"/>
        <v>25700</v>
      </c>
      <c r="P381" s="687">
        <f t="shared" si="150"/>
        <v>0</v>
      </c>
      <c r="Q381" s="687">
        <f>SUM(Q382:Q384)</f>
        <v>2382</v>
      </c>
      <c r="R381" s="687">
        <f t="shared" si="150"/>
        <v>0</v>
      </c>
      <c r="S381" s="687">
        <f t="shared" si="150"/>
        <v>0</v>
      </c>
      <c r="T381" s="687">
        <f t="shared" si="150"/>
        <v>2382</v>
      </c>
      <c r="U381" s="687">
        <f t="shared" si="150"/>
        <v>0</v>
      </c>
      <c r="V381" s="687">
        <f t="shared" si="150"/>
        <v>0</v>
      </c>
      <c r="W381" s="687">
        <f t="shared" si="150"/>
        <v>0</v>
      </c>
      <c r="X381" s="263"/>
      <c r="AA381" s="601"/>
      <c r="AB381" s="601"/>
      <c r="AC381" s="601"/>
    </row>
    <row r="382" spans="1:29" ht="37.5">
      <c r="A382" s="224"/>
      <c r="B382" s="606" t="s">
        <v>1602</v>
      </c>
      <c r="C382" s="607" t="s">
        <v>1603</v>
      </c>
      <c r="D382" s="239"/>
      <c r="E382" s="239"/>
      <c r="F382" s="608" t="s">
        <v>1604</v>
      </c>
      <c r="G382" s="578">
        <f>SUM(H382:K382)</f>
        <v>5823</v>
      </c>
      <c r="H382" s="239"/>
      <c r="I382" s="239"/>
      <c r="J382" s="609">
        <v>5823</v>
      </c>
      <c r="K382" s="239"/>
      <c r="L382" s="239">
        <f>SUM(M382:P382)</f>
        <v>5000</v>
      </c>
      <c r="M382" s="239"/>
      <c r="N382" s="239"/>
      <c r="O382" s="609">
        <v>5000</v>
      </c>
      <c r="P382" s="239"/>
      <c r="Q382" s="266">
        <f>SUM(R382:W382)</f>
        <v>823</v>
      </c>
      <c r="R382" s="239"/>
      <c r="S382" s="239"/>
      <c r="T382" s="607">
        <v>823</v>
      </c>
      <c r="U382" s="239"/>
      <c r="V382" s="239"/>
      <c r="W382" s="239"/>
      <c r="X382" s="621" t="s">
        <v>926</v>
      </c>
    </row>
    <row r="383" spans="1:29" ht="37.5">
      <c r="A383" s="224"/>
      <c r="B383" s="606" t="s">
        <v>1605</v>
      </c>
      <c r="C383" s="607" t="s">
        <v>837</v>
      </c>
      <c r="D383" s="239"/>
      <c r="E383" s="239"/>
      <c r="F383" s="608" t="s">
        <v>1606</v>
      </c>
      <c r="G383" s="578">
        <f>SUM(H383:K383)</f>
        <v>9000</v>
      </c>
      <c r="H383" s="239"/>
      <c r="I383" s="239"/>
      <c r="J383" s="609">
        <v>9000</v>
      </c>
      <c r="K383" s="239"/>
      <c r="L383" s="239">
        <f>SUM(M383:P383)</f>
        <v>8100</v>
      </c>
      <c r="M383" s="239"/>
      <c r="N383" s="239"/>
      <c r="O383" s="609">
        <v>8100</v>
      </c>
      <c r="P383" s="239"/>
      <c r="Q383" s="266">
        <f>SUM(R383:W383)</f>
        <v>577</v>
      </c>
      <c r="R383" s="239"/>
      <c r="S383" s="239"/>
      <c r="T383" s="607">
        <v>577</v>
      </c>
      <c r="U383" s="239"/>
      <c r="V383" s="239"/>
      <c r="W383" s="239"/>
      <c r="X383" s="621" t="s">
        <v>926</v>
      </c>
    </row>
    <row r="384" spans="1:29" ht="37.5">
      <c r="A384" s="224"/>
      <c r="B384" s="606" t="s">
        <v>1607</v>
      </c>
      <c r="C384" s="607" t="s">
        <v>837</v>
      </c>
      <c r="D384" s="239"/>
      <c r="E384" s="239"/>
      <c r="F384" s="608" t="s">
        <v>1608</v>
      </c>
      <c r="G384" s="578">
        <f>SUM(H384:K384)</f>
        <v>14000</v>
      </c>
      <c r="H384" s="239"/>
      <c r="I384" s="239"/>
      <c r="J384" s="609">
        <v>14000</v>
      </c>
      <c r="K384" s="239"/>
      <c r="L384" s="239">
        <f>SUM(M384:P384)</f>
        <v>12600</v>
      </c>
      <c r="M384" s="239"/>
      <c r="N384" s="239"/>
      <c r="O384" s="609">
        <v>12600</v>
      </c>
      <c r="P384" s="239"/>
      <c r="Q384" s="266">
        <f>SUM(R384:W384)</f>
        <v>982</v>
      </c>
      <c r="R384" s="239"/>
      <c r="S384" s="239"/>
      <c r="T384" s="607">
        <v>982</v>
      </c>
      <c r="U384" s="239"/>
      <c r="V384" s="239"/>
      <c r="W384" s="239"/>
      <c r="X384" s="621" t="s">
        <v>926</v>
      </c>
    </row>
    <row r="385" spans="1:29">
      <c r="A385" s="351" t="s">
        <v>415</v>
      </c>
      <c r="B385" s="612" t="s">
        <v>932</v>
      </c>
      <c r="C385" s="294"/>
      <c r="D385" s="352"/>
      <c r="E385" s="352"/>
      <c r="F385" s="352"/>
      <c r="G385" s="680">
        <f>SUM(G386:G387)</f>
        <v>215500</v>
      </c>
      <c r="H385" s="680">
        <f t="shared" ref="H385:W385" si="151">SUM(H386:H387)</f>
        <v>0</v>
      </c>
      <c r="I385" s="680">
        <f t="shared" si="151"/>
        <v>0</v>
      </c>
      <c r="J385" s="680">
        <f t="shared" si="151"/>
        <v>215500</v>
      </c>
      <c r="K385" s="680">
        <f t="shared" si="151"/>
        <v>0</v>
      </c>
      <c r="L385" s="680">
        <f t="shared" si="151"/>
        <v>105102</v>
      </c>
      <c r="M385" s="680">
        <f t="shared" si="151"/>
        <v>0</v>
      </c>
      <c r="N385" s="680">
        <f t="shared" si="151"/>
        <v>0</v>
      </c>
      <c r="O385" s="680">
        <f t="shared" si="151"/>
        <v>105102</v>
      </c>
      <c r="P385" s="680">
        <f t="shared" si="151"/>
        <v>0</v>
      </c>
      <c r="Q385" s="680">
        <f t="shared" si="151"/>
        <v>44606</v>
      </c>
      <c r="R385" s="680">
        <f t="shared" si="151"/>
        <v>30000</v>
      </c>
      <c r="S385" s="680">
        <f t="shared" si="151"/>
        <v>0</v>
      </c>
      <c r="T385" s="680">
        <f t="shared" si="151"/>
        <v>14606</v>
      </c>
      <c r="U385" s="680">
        <f t="shared" si="151"/>
        <v>0</v>
      </c>
      <c r="V385" s="680">
        <f t="shared" si="151"/>
        <v>0</v>
      </c>
      <c r="W385" s="680">
        <f t="shared" si="151"/>
        <v>0</v>
      </c>
      <c r="X385" s="351"/>
    </row>
    <row r="386" spans="1:29" ht="37.5">
      <c r="A386" s="224"/>
      <c r="B386" s="606" t="s">
        <v>1609</v>
      </c>
      <c r="C386" s="607" t="s">
        <v>1079</v>
      </c>
      <c r="D386" s="239"/>
      <c r="E386" s="239"/>
      <c r="F386" s="608" t="s">
        <v>1610</v>
      </c>
      <c r="G386" s="578">
        <f>SUM(H386:K386)</f>
        <v>200000</v>
      </c>
      <c r="H386" s="239"/>
      <c r="I386" s="239"/>
      <c r="J386" s="609">
        <v>200000</v>
      </c>
      <c r="K386" s="239"/>
      <c r="L386" s="578">
        <f>SUM(M386:P386)</f>
        <v>92000</v>
      </c>
      <c r="M386" s="239"/>
      <c r="N386" s="239"/>
      <c r="O386" s="609">
        <v>92000</v>
      </c>
      <c r="P386" s="239"/>
      <c r="Q386" s="578">
        <f t="shared" ref="Q386:Q387" si="152">SUM(R386:W386)</f>
        <v>43706</v>
      </c>
      <c r="R386" s="609">
        <v>30000</v>
      </c>
      <c r="S386" s="239"/>
      <c r="T386" s="609">
        <v>13706</v>
      </c>
      <c r="U386" s="239"/>
      <c r="V386" s="239"/>
      <c r="W386" s="239"/>
      <c r="X386" s="224"/>
    </row>
    <row r="387" spans="1:29" ht="37.5">
      <c r="A387" s="224"/>
      <c r="B387" s="606" t="s">
        <v>1611</v>
      </c>
      <c r="C387" s="607" t="s">
        <v>1361</v>
      </c>
      <c r="D387" s="239"/>
      <c r="E387" s="239"/>
      <c r="F387" s="608" t="s">
        <v>1612</v>
      </c>
      <c r="G387" s="578">
        <f t="shared" ref="G387" si="153">SUM(H387:K387)</f>
        <v>15500</v>
      </c>
      <c r="H387" s="239"/>
      <c r="I387" s="239"/>
      <c r="J387" s="609">
        <v>15500</v>
      </c>
      <c r="K387" s="239"/>
      <c r="L387" s="578">
        <f t="shared" ref="L387" si="154">SUM(M387:P387)</f>
        <v>13102</v>
      </c>
      <c r="M387" s="239"/>
      <c r="N387" s="239"/>
      <c r="O387" s="609">
        <v>13102</v>
      </c>
      <c r="P387" s="239"/>
      <c r="Q387" s="578">
        <f t="shared" si="152"/>
        <v>900</v>
      </c>
      <c r="R387" s="239"/>
      <c r="S387" s="239"/>
      <c r="T387" s="609">
        <v>900</v>
      </c>
      <c r="U387" s="239"/>
      <c r="V387" s="239"/>
      <c r="W387" s="239"/>
      <c r="X387" s="224"/>
    </row>
    <row r="388" spans="1:29" ht="31.5">
      <c r="A388" s="351" t="s">
        <v>418</v>
      </c>
      <c r="B388" s="610" t="s">
        <v>933</v>
      </c>
      <c r="C388" s="238"/>
      <c r="D388" s="239"/>
      <c r="E388" s="239"/>
      <c r="F388" s="239"/>
      <c r="G388" s="681">
        <f>SUM(G389:G390)</f>
        <v>54500</v>
      </c>
      <c r="H388" s="681">
        <f t="shared" ref="H388:V388" si="155">SUM(H389:H390)</f>
        <v>0</v>
      </c>
      <c r="I388" s="681">
        <f t="shared" si="155"/>
        <v>0</v>
      </c>
      <c r="J388" s="681">
        <f t="shared" si="155"/>
        <v>54500</v>
      </c>
      <c r="K388" s="681">
        <f t="shared" si="155"/>
        <v>0</v>
      </c>
      <c r="L388" s="681">
        <f t="shared" si="155"/>
        <v>32000</v>
      </c>
      <c r="M388" s="681">
        <f t="shared" si="155"/>
        <v>0</v>
      </c>
      <c r="N388" s="681">
        <f t="shared" si="155"/>
        <v>0</v>
      </c>
      <c r="O388" s="681">
        <f t="shared" si="155"/>
        <v>32000</v>
      </c>
      <c r="P388" s="681">
        <f t="shared" si="155"/>
        <v>0</v>
      </c>
      <c r="Q388" s="681">
        <f t="shared" si="155"/>
        <v>12939</v>
      </c>
      <c r="R388" s="681">
        <f t="shared" si="155"/>
        <v>5439</v>
      </c>
      <c r="S388" s="681">
        <f t="shared" si="155"/>
        <v>0</v>
      </c>
      <c r="T388" s="681">
        <f t="shared" si="155"/>
        <v>7500</v>
      </c>
      <c r="U388" s="681">
        <f t="shared" si="155"/>
        <v>0</v>
      </c>
      <c r="V388" s="352">
        <f t="shared" si="155"/>
        <v>0</v>
      </c>
      <c r="W388" s="239"/>
      <c r="X388" s="224"/>
    </row>
    <row r="389" spans="1:29" s="281" customFormat="1" ht="70.5" customHeight="1">
      <c r="A389" s="238"/>
      <c r="B389" s="606" t="s">
        <v>1613</v>
      </c>
      <c r="C389" s="607" t="s">
        <v>1499</v>
      </c>
      <c r="D389" s="254"/>
      <c r="E389" s="254"/>
      <c r="F389" s="608" t="s">
        <v>1614</v>
      </c>
      <c r="G389" s="197">
        <f>SUM(H389:K389)</f>
        <v>10000</v>
      </c>
      <c r="H389" s="197"/>
      <c r="I389" s="197"/>
      <c r="J389" s="609">
        <v>10000</v>
      </c>
      <c r="K389" s="197"/>
      <c r="L389" s="197">
        <f>SUM(M389:P389)</f>
        <v>0</v>
      </c>
      <c r="M389" s="197"/>
      <c r="N389" s="197"/>
      <c r="O389" s="609"/>
      <c r="P389" s="197"/>
      <c r="Q389" s="181">
        <f>SUM(R389:W389)</f>
        <v>439</v>
      </c>
      <c r="R389" s="620">
        <v>439</v>
      </c>
      <c r="S389" s="197"/>
      <c r="T389" s="609"/>
      <c r="U389" s="197"/>
      <c r="V389" s="197"/>
      <c r="W389" s="197"/>
      <c r="X389" s="608" t="s">
        <v>933</v>
      </c>
      <c r="Y389" s="232"/>
      <c r="Z389" s="232"/>
      <c r="AA389" s="596"/>
      <c r="AB389" s="596"/>
      <c r="AC389" s="596"/>
    </row>
    <row r="390" spans="1:29" ht="37.5">
      <c r="A390" s="224"/>
      <c r="B390" s="606" t="s">
        <v>757</v>
      </c>
      <c r="C390" s="607" t="s">
        <v>897</v>
      </c>
      <c r="D390" s="239"/>
      <c r="E390" s="239"/>
      <c r="F390" s="239"/>
      <c r="G390" s="578">
        <f>SUM(H390:K390)</f>
        <v>44500</v>
      </c>
      <c r="H390" s="578"/>
      <c r="I390" s="578"/>
      <c r="J390" s="682">
        <v>44500</v>
      </c>
      <c r="K390" s="578"/>
      <c r="L390" s="578">
        <f>SUM(M390:P390)</f>
        <v>32000</v>
      </c>
      <c r="M390" s="578"/>
      <c r="N390" s="578"/>
      <c r="O390" s="688">
        <v>32000</v>
      </c>
      <c r="P390" s="578"/>
      <c r="Q390" s="689">
        <f>SUM(R390:W390)</f>
        <v>12500</v>
      </c>
      <c r="R390" s="690">
        <v>5000</v>
      </c>
      <c r="S390" s="578"/>
      <c r="T390" s="682">
        <v>7500</v>
      </c>
      <c r="U390" s="578"/>
      <c r="V390" s="578"/>
      <c r="W390" s="578"/>
      <c r="X390" s="608" t="s">
        <v>933</v>
      </c>
    </row>
    <row r="391" spans="1:29" ht="18.75">
      <c r="A391" s="224"/>
      <c r="B391" s="606"/>
      <c r="C391" s="607"/>
      <c r="D391" s="239"/>
      <c r="E391" s="239"/>
      <c r="F391" s="608"/>
      <c r="G391" s="578"/>
      <c r="H391" s="239"/>
      <c r="I391" s="239"/>
      <c r="J391" s="609"/>
      <c r="K391" s="239"/>
      <c r="L391" s="578"/>
      <c r="M391" s="239"/>
      <c r="N391" s="239"/>
      <c r="O391" s="609"/>
      <c r="P391" s="239"/>
      <c r="Q391" s="578"/>
      <c r="R391" s="239"/>
      <c r="S391" s="239"/>
      <c r="T391" s="609"/>
      <c r="U391" s="239"/>
      <c r="V391" s="239"/>
      <c r="W391" s="239"/>
      <c r="X391" s="224"/>
    </row>
    <row r="392" spans="1:29" ht="18.75">
      <c r="A392" s="224"/>
      <c r="B392" s="606"/>
      <c r="C392" s="607"/>
      <c r="D392" s="239"/>
      <c r="E392" s="239"/>
      <c r="F392" s="608"/>
      <c r="G392" s="578"/>
      <c r="H392" s="239"/>
      <c r="I392" s="239"/>
      <c r="J392" s="609"/>
      <c r="K392" s="239"/>
      <c r="L392" s="578"/>
      <c r="M392" s="239"/>
      <c r="N392" s="239"/>
      <c r="O392" s="609"/>
      <c r="P392" s="239"/>
      <c r="Q392" s="578"/>
      <c r="R392" s="239"/>
      <c r="S392" s="239"/>
      <c r="T392" s="609"/>
      <c r="U392" s="239"/>
      <c r="V392" s="239"/>
      <c r="W392" s="239"/>
      <c r="X392" s="224"/>
    </row>
    <row r="393" spans="1:29" ht="18.75">
      <c r="A393" s="224"/>
      <c r="B393" s="606"/>
      <c r="C393" s="607"/>
      <c r="D393" s="239"/>
      <c r="E393" s="239"/>
      <c r="F393" s="608"/>
      <c r="G393" s="578"/>
      <c r="H393" s="239"/>
      <c r="I393" s="239"/>
      <c r="J393" s="609"/>
      <c r="K393" s="239"/>
      <c r="L393" s="578"/>
      <c r="M393" s="239"/>
      <c r="N393" s="239"/>
      <c r="O393" s="609"/>
      <c r="P393" s="239"/>
      <c r="Q393" s="578"/>
      <c r="R393" s="239"/>
      <c r="S393" s="239"/>
      <c r="T393" s="609"/>
      <c r="U393" s="239"/>
      <c r="V393" s="239"/>
      <c r="W393" s="239"/>
      <c r="X393" s="224"/>
    </row>
    <row r="394" spans="1:29" s="354" customFormat="1" ht="36.75" customHeight="1">
      <c r="A394" s="351" t="s">
        <v>421</v>
      </c>
      <c r="B394" s="610" t="s">
        <v>907</v>
      </c>
      <c r="C394" s="611"/>
      <c r="D394" s="352"/>
      <c r="E394" s="352"/>
      <c r="F394" s="612"/>
      <c r="G394" s="681">
        <f>G395</f>
        <v>15000</v>
      </c>
      <c r="H394" s="681">
        <f t="shared" ref="H394:V394" si="156">H395</f>
        <v>0</v>
      </c>
      <c r="I394" s="681">
        <f t="shared" si="156"/>
        <v>0</v>
      </c>
      <c r="J394" s="681">
        <f t="shared" si="156"/>
        <v>15000</v>
      </c>
      <c r="K394" s="681">
        <f t="shared" si="156"/>
        <v>0</v>
      </c>
      <c r="L394" s="681">
        <f t="shared" si="156"/>
        <v>5000</v>
      </c>
      <c r="M394" s="681">
        <f t="shared" si="156"/>
        <v>0</v>
      </c>
      <c r="N394" s="681">
        <f t="shared" si="156"/>
        <v>0</v>
      </c>
      <c r="O394" s="681">
        <f t="shared" si="156"/>
        <v>5000</v>
      </c>
      <c r="P394" s="681">
        <f t="shared" si="156"/>
        <v>0</v>
      </c>
      <c r="Q394" s="681">
        <f t="shared" si="156"/>
        <v>9500</v>
      </c>
      <c r="R394" s="681">
        <f t="shared" si="156"/>
        <v>4500</v>
      </c>
      <c r="S394" s="681">
        <f t="shared" si="156"/>
        <v>0</v>
      </c>
      <c r="T394" s="681">
        <f t="shared" si="156"/>
        <v>5000</v>
      </c>
      <c r="U394" s="681">
        <f t="shared" si="156"/>
        <v>0</v>
      </c>
      <c r="V394" s="681">
        <f t="shared" si="156"/>
        <v>0</v>
      </c>
      <c r="W394" s="352"/>
      <c r="X394" s="612"/>
      <c r="AA394" s="598"/>
      <c r="AB394" s="598"/>
      <c r="AC394" s="598"/>
    </row>
    <row r="395" spans="1:29" ht="129" customHeight="1">
      <c r="A395" s="224"/>
      <c r="B395" s="606" t="s">
        <v>1615</v>
      </c>
      <c r="C395" s="607" t="s">
        <v>895</v>
      </c>
      <c r="D395" s="239"/>
      <c r="E395" s="239"/>
      <c r="F395" s="608" t="s">
        <v>1616</v>
      </c>
      <c r="G395" s="578">
        <f>SUM(H395:K395)</f>
        <v>15000</v>
      </c>
      <c r="H395" s="239"/>
      <c r="I395" s="239"/>
      <c r="J395" s="609">
        <v>15000</v>
      </c>
      <c r="K395" s="239"/>
      <c r="L395" s="578">
        <f>SUM(M395:P395)</f>
        <v>5000</v>
      </c>
      <c r="M395" s="239"/>
      <c r="N395" s="239"/>
      <c r="O395" s="609">
        <v>5000</v>
      </c>
      <c r="P395" s="239"/>
      <c r="Q395" s="266">
        <f>SUM(R395:W395)</f>
        <v>9500</v>
      </c>
      <c r="R395" s="609">
        <v>4500</v>
      </c>
      <c r="S395" s="239"/>
      <c r="T395" s="609">
        <v>5000</v>
      </c>
      <c r="U395" s="239"/>
      <c r="V395" s="239"/>
      <c r="W395" s="239"/>
      <c r="X395" s="608" t="s">
        <v>907</v>
      </c>
    </row>
    <row r="396" spans="1:29" s="354" customFormat="1" ht="28.5" customHeight="1">
      <c r="A396" s="351" t="s">
        <v>423</v>
      </c>
      <c r="B396" s="610" t="s">
        <v>908</v>
      </c>
      <c r="C396" s="611"/>
      <c r="D396" s="352"/>
      <c r="E396" s="352"/>
      <c r="F396" s="612"/>
      <c r="G396" s="681">
        <f>SUM(G397)</f>
        <v>1347</v>
      </c>
      <c r="H396" s="681">
        <f t="shared" ref="H396:W396" si="157">SUM(H397)</f>
        <v>0</v>
      </c>
      <c r="I396" s="681">
        <f t="shared" si="157"/>
        <v>0</v>
      </c>
      <c r="J396" s="681">
        <f t="shared" si="157"/>
        <v>1347</v>
      </c>
      <c r="K396" s="681">
        <f t="shared" si="157"/>
        <v>0</v>
      </c>
      <c r="L396" s="681">
        <f t="shared" si="157"/>
        <v>673</v>
      </c>
      <c r="M396" s="681">
        <f t="shared" si="157"/>
        <v>0</v>
      </c>
      <c r="N396" s="681">
        <f t="shared" si="157"/>
        <v>0</v>
      </c>
      <c r="O396" s="681">
        <f t="shared" si="157"/>
        <v>673</v>
      </c>
      <c r="P396" s="681">
        <f t="shared" si="157"/>
        <v>0</v>
      </c>
      <c r="Q396" s="681">
        <f t="shared" si="157"/>
        <v>465</v>
      </c>
      <c r="R396" s="681">
        <f t="shared" si="157"/>
        <v>465</v>
      </c>
      <c r="S396" s="681">
        <f t="shared" si="157"/>
        <v>0</v>
      </c>
      <c r="T396" s="681">
        <f t="shared" si="157"/>
        <v>0</v>
      </c>
      <c r="U396" s="681">
        <f t="shared" si="157"/>
        <v>0</v>
      </c>
      <c r="V396" s="681">
        <f t="shared" si="157"/>
        <v>0</v>
      </c>
      <c r="W396" s="681">
        <f t="shared" si="157"/>
        <v>0</v>
      </c>
      <c r="X396" s="612"/>
      <c r="AA396" s="598"/>
      <c r="AB396" s="598"/>
      <c r="AC396" s="598"/>
    </row>
    <row r="397" spans="1:29" ht="72.75" customHeight="1">
      <c r="A397" s="224"/>
      <c r="B397" s="606" t="s">
        <v>1617</v>
      </c>
      <c r="C397" s="607" t="s">
        <v>878</v>
      </c>
      <c r="D397" s="239"/>
      <c r="E397" s="239"/>
      <c r="F397" s="608" t="s">
        <v>1618</v>
      </c>
      <c r="G397" s="578">
        <f>SUM(H397:K397)</f>
        <v>1347</v>
      </c>
      <c r="H397" s="239"/>
      <c r="I397" s="239"/>
      <c r="J397" s="609">
        <v>1347</v>
      </c>
      <c r="K397" s="239"/>
      <c r="L397" s="578">
        <f>SUM(M397:P397)</f>
        <v>673</v>
      </c>
      <c r="M397" s="239"/>
      <c r="N397" s="239"/>
      <c r="O397" s="609">
        <v>673</v>
      </c>
      <c r="P397" s="239"/>
      <c r="Q397" s="266">
        <f>SUM(R397:W397)</f>
        <v>465</v>
      </c>
      <c r="R397" s="609">
        <v>465</v>
      </c>
      <c r="S397" s="239"/>
      <c r="T397" s="609"/>
      <c r="U397" s="239"/>
      <c r="V397" s="239"/>
      <c r="W397" s="239"/>
      <c r="X397" s="608" t="s">
        <v>908</v>
      </c>
    </row>
    <row r="398" spans="1:29" s="354" customFormat="1" ht="30" hidden="1" customHeight="1">
      <c r="A398" s="229"/>
      <c r="B398" s="354" t="s">
        <v>1619</v>
      </c>
      <c r="C398" s="338"/>
      <c r="Q398" s="691">
        <f>SUM(R398:W398)</f>
        <v>122500</v>
      </c>
      <c r="R398" s="692">
        <v>122500</v>
      </c>
      <c r="X398" s="229"/>
      <c r="AA398" s="598"/>
      <c r="AB398" s="598"/>
      <c r="AC398" s="598"/>
    </row>
    <row r="399" spans="1:29" s="354" customFormat="1" ht="30" hidden="1" customHeight="1">
      <c r="A399" s="229"/>
      <c r="B399" s="354" t="s">
        <v>1620</v>
      </c>
      <c r="C399" s="338"/>
      <c r="Q399" s="691">
        <f>SUM(R399:W399)</f>
        <v>173373</v>
      </c>
      <c r="R399" s="692">
        <f>85000-11627</f>
        <v>73373</v>
      </c>
      <c r="T399" s="692">
        <v>100000</v>
      </c>
      <c r="X399" s="229"/>
      <c r="AA399" s="598"/>
      <c r="AB399" s="598"/>
      <c r="AC399" s="598"/>
    </row>
    <row r="400" spans="1:29" s="354" customFormat="1" ht="30" hidden="1" customHeight="1">
      <c r="A400" s="229"/>
      <c r="B400" s="354" t="s">
        <v>1621</v>
      </c>
      <c r="C400" s="338"/>
      <c r="Q400" s="691">
        <f>SUM(R400:W400)</f>
        <v>17000</v>
      </c>
      <c r="R400" s="692"/>
      <c r="T400" s="692">
        <v>17000</v>
      </c>
      <c r="X400" s="229"/>
      <c r="AA400" s="598"/>
      <c r="AB400" s="598"/>
      <c r="AC400" s="598"/>
    </row>
    <row r="401" spans="1:24" ht="30" hidden="1" customHeight="1">
      <c r="A401" s="224"/>
      <c r="B401" s="628" t="s">
        <v>1622</v>
      </c>
      <c r="C401" s="294"/>
      <c r="D401" s="352"/>
      <c r="E401" s="352"/>
      <c r="F401" s="352"/>
      <c r="G401" s="352"/>
      <c r="H401" s="352"/>
      <c r="I401" s="352"/>
      <c r="J401" s="352"/>
      <c r="K401" s="352"/>
      <c r="L401" s="352"/>
      <c r="M401" s="352"/>
      <c r="N401" s="352"/>
      <c r="O401" s="352"/>
      <c r="P401" s="352"/>
      <c r="Q401" s="353">
        <f>SUM(R401:W401)</f>
        <v>3809385</v>
      </c>
      <c r="R401" s="353">
        <v>19400</v>
      </c>
      <c r="S401" s="353">
        <f t="shared" ref="S401" si="158">SUM(S403:S405)</f>
        <v>0</v>
      </c>
      <c r="T401" s="353">
        <v>3784717</v>
      </c>
      <c r="U401" s="352"/>
      <c r="V401" s="352"/>
      <c r="W401" s="680">
        <f>W406</f>
        <v>5268</v>
      </c>
      <c r="X401" s="351"/>
    </row>
    <row r="402" spans="1:24" ht="16.5" hidden="1">
      <c r="A402" s="224"/>
      <c r="B402" s="583" t="s">
        <v>153</v>
      </c>
      <c r="C402" s="238"/>
      <c r="D402" s="239"/>
      <c r="E402" s="239"/>
      <c r="F402" s="239"/>
      <c r="G402" s="239"/>
      <c r="H402" s="239"/>
      <c r="I402" s="239"/>
      <c r="J402" s="239"/>
      <c r="K402" s="239"/>
      <c r="L402" s="239"/>
      <c r="M402" s="239"/>
      <c r="N402" s="239"/>
      <c r="O402" s="239"/>
      <c r="P402" s="239"/>
      <c r="Q402" s="239"/>
      <c r="R402" s="239"/>
      <c r="S402" s="239"/>
      <c r="T402" s="239"/>
      <c r="U402" s="239"/>
      <c r="V402" s="239"/>
      <c r="W402" s="239"/>
      <c r="X402" s="224"/>
    </row>
    <row r="403" spans="1:24" ht="66" hidden="1">
      <c r="A403" s="224"/>
      <c r="B403" s="583" t="s">
        <v>1623</v>
      </c>
      <c r="C403" s="238"/>
      <c r="D403" s="239"/>
      <c r="E403" s="239"/>
      <c r="F403" s="239"/>
      <c r="G403" s="239"/>
      <c r="H403" s="239"/>
      <c r="I403" s="239"/>
      <c r="J403" s="239"/>
      <c r="K403" s="239"/>
      <c r="L403" s="239"/>
      <c r="M403" s="239"/>
      <c r="N403" s="239"/>
      <c r="O403" s="239"/>
      <c r="P403" s="239"/>
      <c r="Q403" s="266">
        <f>SUM(R403:W403)</f>
        <v>522390</v>
      </c>
      <c r="R403" s="239"/>
      <c r="S403" s="239"/>
      <c r="T403" s="584">
        <v>522390</v>
      </c>
      <c r="U403" s="239"/>
      <c r="V403" s="239"/>
      <c r="W403" s="239"/>
      <c r="X403" s="224"/>
    </row>
    <row r="404" spans="1:24" ht="49.5" hidden="1">
      <c r="A404" s="224"/>
      <c r="B404" s="583" t="s">
        <v>1624</v>
      </c>
      <c r="C404" s="238"/>
      <c r="D404" s="239"/>
      <c r="E404" s="239"/>
      <c r="F404" s="239"/>
      <c r="G404" s="239"/>
      <c r="H404" s="239"/>
      <c r="I404" s="239"/>
      <c r="J404" s="239"/>
      <c r="K404" s="239"/>
      <c r="L404" s="239"/>
      <c r="M404" s="239"/>
      <c r="N404" s="239"/>
      <c r="O404" s="239"/>
      <c r="P404" s="239"/>
      <c r="Q404" s="266">
        <f t="shared" ref="Q404:Q405" si="159">SUM(R404:W404)</f>
        <v>387000</v>
      </c>
      <c r="R404" s="239"/>
      <c r="S404" s="239"/>
      <c r="T404" s="584">
        <v>387000</v>
      </c>
      <c r="U404" s="239"/>
      <c r="V404" s="239"/>
      <c r="W404" s="239"/>
      <c r="X404" s="224"/>
    </row>
    <row r="405" spans="1:24" ht="49.5" hidden="1">
      <c r="A405" s="224"/>
      <c r="B405" s="583" t="s">
        <v>1625</v>
      </c>
      <c r="C405" s="238"/>
      <c r="D405" s="239"/>
      <c r="E405" s="239"/>
      <c r="F405" s="239"/>
      <c r="G405" s="239"/>
      <c r="H405" s="239"/>
      <c r="I405" s="239"/>
      <c r="J405" s="239"/>
      <c r="K405" s="239"/>
      <c r="L405" s="239"/>
      <c r="M405" s="239"/>
      <c r="N405" s="239"/>
      <c r="O405" s="239"/>
      <c r="P405" s="239"/>
      <c r="Q405" s="266">
        <f t="shared" si="159"/>
        <v>1000000</v>
      </c>
      <c r="R405" s="239"/>
      <c r="S405" s="239"/>
      <c r="T405" s="584">
        <v>1000000</v>
      </c>
      <c r="U405" s="239"/>
      <c r="V405" s="239"/>
      <c r="W405" s="239"/>
      <c r="X405" s="224"/>
    </row>
    <row r="406" spans="1:24" hidden="1">
      <c r="B406" s="233" t="s">
        <v>1626</v>
      </c>
      <c r="W406" s="585">
        <v>5268</v>
      </c>
    </row>
    <row r="407" spans="1:24" hidden="1">
      <c r="B407" s="233" t="s">
        <v>1619</v>
      </c>
    </row>
  </sheetData>
  <mergeCells count="36">
    <mergeCell ref="R7:R9"/>
    <mergeCell ref="S7:S9"/>
    <mergeCell ref="T7:T9"/>
    <mergeCell ref="U7:U9"/>
    <mergeCell ref="V7:V9"/>
    <mergeCell ref="P7:P9"/>
    <mergeCell ref="H8:H9"/>
    <mergeCell ref="I8:I9"/>
    <mergeCell ref="J8:J9"/>
    <mergeCell ref="K8:K9"/>
    <mergeCell ref="F5:K5"/>
    <mergeCell ref="L5:P5"/>
    <mergeCell ref="Q5:W5"/>
    <mergeCell ref="X5:X9"/>
    <mergeCell ref="F6:F9"/>
    <mergeCell ref="G6:K6"/>
    <mergeCell ref="L6:L9"/>
    <mergeCell ref="N6:P6"/>
    <mergeCell ref="Q6:Q9"/>
    <mergeCell ref="R6:W6"/>
    <mergeCell ref="W7:W9"/>
    <mergeCell ref="G7:G9"/>
    <mergeCell ref="H7:K7"/>
    <mergeCell ref="M7:M9"/>
    <mergeCell ref="N7:N9"/>
    <mergeCell ref="O7:O9"/>
    <mergeCell ref="A1:B1"/>
    <mergeCell ref="S1:X1"/>
    <mergeCell ref="A2:X2"/>
    <mergeCell ref="A3:X3"/>
    <mergeCell ref="V4:X4"/>
    <mergeCell ref="A5:A9"/>
    <mergeCell ref="B5:B9"/>
    <mergeCell ref="C5:C9"/>
    <mergeCell ref="D5:D9"/>
    <mergeCell ref="E5:E9"/>
  </mergeCells>
  <pageMargins left="0.7" right="0.7" top="0.75" bottom="0.75" header="0.3" footer="0.3"/>
  <pageSetup paperSize="9" scale="32"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6"/>
  <sheetViews>
    <sheetView topLeftCell="A4" workbookViewId="0">
      <selection activeCell="K24" sqref="K24"/>
    </sheetView>
  </sheetViews>
  <sheetFormatPr defaultColWidth="9.140625" defaultRowHeight="15.75"/>
  <cols>
    <col min="1" max="1" width="5.28515625" style="210" customWidth="1"/>
    <col min="2" max="2" width="33.140625" style="207" customWidth="1"/>
    <col min="3" max="3" width="11.7109375" style="208" customWidth="1"/>
    <col min="4" max="4" width="9.7109375" style="208" customWidth="1"/>
    <col min="5" max="5" width="8.7109375" style="208" customWidth="1"/>
    <col min="6" max="6" width="11.42578125" style="208" customWidth="1"/>
    <col min="7" max="7" width="9.140625" style="208"/>
    <col min="8" max="8" width="10" style="208" customWidth="1"/>
    <col min="9" max="9" width="8.7109375" style="208" customWidth="1"/>
    <col min="10" max="10" width="8.42578125" style="208" customWidth="1"/>
    <col min="11" max="11" width="8.140625" style="208" customWidth="1"/>
    <col min="12" max="12" width="9.140625" style="208"/>
    <col min="13" max="13" width="11.85546875" style="208" customWidth="1"/>
    <col min="14" max="14" width="9.5703125" style="208" customWidth="1"/>
    <col min="15" max="15" width="8.42578125" style="208" customWidth="1"/>
    <col min="16" max="16" width="8.7109375" style="208" customWidth="1"/>
    <col min="17" max="17" width="10.140625" style="208" customWidth="1"/>
    <col min="18" max="18" width="13.7109375" style="210" customWidth="1"/>
    <col min="19" max="16384" width="9.140625" style="210"/>
  </cols>
  <sheetData>
    <row r="1" spans="1:18">
      <c r="A1" s="206" t="s">
        <v>515</v>
      </c>
      <c r="L1" s="749" t="s">
        <v>375</v>
      </c>
      <c r="M1" s="749"/>
      <c r="N1" s="749"/>
      <c r="O1" s="749"/>
      <c r="P1" s="749"/>
      <c r="Q1" s="209"/>
    </row>
    <row r="2" spans="1:18">
      <c r="L2" s="211"/>
      <c r="M2" s="211"/>
      <c r="N2" s="211"/>
      <c r="O2" s="211"/>
      <c r="P2" s="212"/>
      <c r="Q2" s="212"/>
    </row>
    <row r="3" spans="1:18">
      <c r="A3" s="750" t="s">
        <v>516</v>
      </c>
      <c r="B3" s="750"/>
      <c r="C3" s="750"/>
      <c r="D3" s="750"/>
      <c r="E3" s="750"/>
      <c r="F3" s="750"/>
      <c r="G3" s="750"/>
      <c r="H3" s="750"/>
      <c r="I3" s="750"/>
      <c r="J3" s="750"/>
      <c r="K3" s="750"/>
      <c r="L3" s="750"/>
      <c r="M3" s="750"/>
      <c r="N3" s="750"/>
      <c r="O3" s="750"/>
      <c r="P3" s="750"/>
      <c r="Q3" s="213"/>
    </row>
    <row r="4" spans="1:18">
      <c r="A4" s="751" t="s">
        <v>517</v>
      </c>
      <c r="B4" s="751"/>
      <c r="C4" s="751"/>
      <c r="D4" s="751"/>
      <c r="E4" s="751"/>
      <c r="F4" s="751"/>
      <c r="G4" s="751"/>
      <c r="H4" s="751"/>
      <c r="I4" s="751"/>
      <c r="J4" s="751"/>
      <c r="K4" s="751"/>
      <c r="L4" s="751"/>
      <c r="M4" s="751"/>
      <c r="N4" s="751"/>
      <c r="O4" s="751"/>
      <c r="P4" s="751"/>
      <c r="Q4" s="214"/>
    </row>
    <row r="5" spans="1:18">
      <c r="L5" s="210"/>
      <c r="M5" s="215"/>
      <c r="N5" s="752" t="s">
        <v>64</v>
      </c>
      <c r="O5" s="752"/>
      <c r="P5" s="752"/>
      <c r="Q5" s="216"/>
    </row>
    <row r="6" spans="1:18" s="213" customFormat="1">
      <c r="A6" s="753" t="s">
        <v>2</v>
      </c>
      <c r="B6" s="753" t="s">
        <v>3</v>
      </c>
      <c r="C6" s="753" t="s">
        <v>27</v>
      </c>
      <c r="D6" s="754" t="s">
        <v>96</v>
      </c>
      <c r="E6" s="754"/>
      <c r="F6" s="754"/>
      <c r="G6" s="754"/>
      <c r="H6" s="754"/>
      <c r="I6" s="754"/>
      <c r="J6" s="754"/>
      <c r="K6" s="754"/>
      <c r="L6" s="754"/>
      <c r="M6" s="754"/>
      <c r="N6" s="754"/>
      <c r="O6" s="754"/>
      <c r="P6" s="754"/>
      <c r="Q6" s="218"/>
    </row>
    <row r="7" spans="1:18" s="213" customFormat="1" ht="78.75">
      <c r="A7" s="753" t="s">
        <v>65</v>
      </c>
      <c r="B7" s="753" t="s">
        <v>58</v>
      </c>
      <c r="C7" s="753"/>
      <c r="D7" s="217" t="s">
        <v>518</v>
      </c>
      <c r="E7" s="217" t="s">
        <v>519</v>
      </c>
      <c r="F7" s="217" t="s">
        <v>520</v>
      </c>
      <c r="G7" s="217" t="s">
        <v>232</v>
      </c>
      <c r="H7" s="217" t="s">
        <v>239</v>
      </c>
      <c r="I7" s="217" t="s">
        <v>521</v>
      </c>
      <c r="J7" s="217" t="s">
        <v>522</v>
      </c>
      <c r="K7" s="217" t="s">
        <v>242</v>
      </c>
      <c r="L7" s="217" t="s">
        <v>243</v>
      </c>
      <c r="M7" s="217" t="s">
        <v>244</v>
      </c>
      <c r="N7" s="217" t="s">
        <v>523</v>
      </c>
      <c r="O7" s="217" t="s">
        <v>524</v>
      </c>
      <c r="P7" s="217" t="s">
        <v>525</v>
      </c>
      <c r="Q7" s="217" t="s">
        <v>526</v>
      </c>
    </row>
    <row r="8" spans="1:18" s="223" customFormat="1">
      <c r="A8" s="219"/>
      <c r="B8" s="220" t="s">
        <v>387</v>
      </c>
      <c r="C8" s="221">
        <f>SUM(C9:C46)</f>
        <v>2923540</v>
      </c>
      <c r="D8" s="221">
        <f>SUM(D9:D46)</f>
        <v>15766</v>
      </c>
      <c r="E8" s="221">
        <f t="shared" ref="E8:Q8" si="0">SUM(E9:E46)</f>
        <v>18000</v>
      </c>
      <c r="F8" s="221">
        <f t="shared" si="0"/>
        <v>120509</v>
      </c>
      <c r="G8" s="221">
        <f t="shared" si="0"/>
        <v>10000</v>
      </c>
      <c r="H8" s="221">
        <f t="shared" si="0"/>
        <v>147200</v>
      </c>
      <c r="I8" s="221">
        <f t="shared" si="0"/>
        <v>18298</v>
      </c>
      <c r="J8" s="221">
        <f t="shared" si="0"/>
        <v>0</v>
      </c>
      <c r="K8" s="221">
        <f t="shared" si="0"/>
        <v>0</v>
      </c>
      <c r="L8" s="221">
        <f t="shared" si="0"/>
        <v>0</v>
      </c>
      <c r="M8" s="221">
        <f t="shared" si="0"/>
        <v>1884086</v>
      </c>
      <c r="N8" s="221">
        <f t="shared" si="0"/>
        <v>144460</v>
      </c>
      <c r="O8" s="221">
        <f t="shared" si="0"/>
        <v>18000</v>
      </c>
      <c r="P8" s="221">
        <f t="shared" si="0"/>
        <v>0</v>
      </c>
      <c r="Q8" s="221">
        <f t="shared" si="0"/>
        <v>547221</v>
      </c>
      <c r="R8" s="222"/>
    </row>
    <row r="9" spans="1:18">
      <c r="A9" s="224">
        <v>1</v>
      </c>
      <c r="B9" s="225" t="s">
        <v>122</v>
      </c>
      <c r="C9" s="226">
        <f>SUM(D9:Q9)</f>
        <v>15766</v>
      </c>
      <c r="D9" s="226">
        <f>'[8]Biểu 58'!Q11</f>
        <v>15766</v>
      </c>
      <c r="E9" s="226"/>
      <c r="F9" s="226"/>
      <c r="G9" s="226"/>
      <c r="H9" s="226"/>
      <c r="I9" s="226"/>
      <c r="J9" s="226"/>
      <c r="K9" s="226"/>
      <c r="L9" s="226"/>
      <c r="M9" s="227"/>
      <c r="N9" s="226"/>
      <c r="O9" s="226"/>
      <c r="P9" s="226"/>
      <c r="Q9" s="226"/>
    </row>
    <row r="10" spans="1:18">
      <c r="A10" s="224">
        <v>2</v>
      </c>
      <c r="B10" s="225" t="s">
        <v>253</v>
      </c>
      <c r="C10" s="226">
        <f t="shared" ref="C10:C46" si="1">SUM(D10:Q10)</f>
        <v>18000</v>
      </c>
      <c r="D10" s="226"/>
      <c r="E10" s="226">
        <f>'[8]Biểu 58'!Q15</f>
        <v>18000</v>
      </c>
      <c r="F10" s="226"/>
      <c r="G10" s="226"/>
      <c r="H10" s="226"/>
      <c r="I10" s="226"/>
      <c r="J10" s="226"/>
      <c r="K10" s="226"/>
      <c r="L10" s="226"/>
      <c r="M10" s="227"/>
      <c r="N10" s="226"/>
      <c r="O10" s="226"/>
      <c r="P10" s="226"/>
      <c r="Q10" s="226"/>
    </row>
    <row r="11" spans="1:18">
      <c r="A11" s="224">
        <v>3</v>
      </c>
      <c r="B11" s="228" t="s">
        <v>527</v>
      </c>
      <c r="C11" s="226">
        <f t="shared" si="1"/>
        <v>16280</v>
      </c>
      <c r="D11" s="226"/>
      <c r="E11" s="226"/>
      <c r="F11" s="226"/>
      <c r="G11" s="226"/>
      <c r="H11" s="226"/>
      <c r="I11" s="226"/>
      <c r="J11" s="226"/>
      <c r="K11" s="226"/>
      <c r="L11" s="226"/>
      <c r="M11" s="227">
        <f>10000+6280</f>
        <v>16280</v>
      </c>
      <c r="N11" s="226"/>
      <c r="O11" s="226"/>
      <c r="P11" s="226"/>
      <c r="Q11" s="226"/>
    </row>
    <row r="12" spans="1:18">
      <c r="A12" s="224">
        <v>4</v>
      </c>
      <c r="B12" s="228" t="s">
        <v>282</v>
      </c>
      <c r="C12" s="226">
        <f t="shared" si="1"/>
        <v>6800</v>
      </c>
      <c r="D12" s="226"/>
      <c r="E12" s="226"/>
      <c r="F12" s="226"/>
      <c r="G12" s="226"/>
      <c r="H12" s="226"/>
      <c r="I12" s="226"/>
      <c r="J12" s="226"/>
      <c r="K12" s="226"/>
      <c r="L12" s="226"/>
      <c r="M12" s="227">
        <v>6800</v>
      </c>
      <c r="N12" s="226"/>
      <c r="O12" s="226"/>
      <c r="P12" s="226"/>
      <c r="Q12" s="226"/>
    </row>
    <row r="13" spans="1:18">
      <c r="A13" s="224">
        <v>5</v>
      </c>
      <c r="B13" s="228" t="s">
        <v>528</v>
      </c>
      <c r="C13" s="226">
        <f t="shared" si="1"/>
        <v>10400</v>
      </c>
      <c r="D13" s="226"/>
      <c r="E13" s="226"/>
      <c r="F13" s="226"/>
      <c r="G13" s="226"/>
      <c r="H13" s="226"/>
      <c r="I13" s="226"/>
      <c r="J13" s="226"/>
      <c r="K13" s="226"/>
      <c r="L13" s="226"/>
      <c r="M13" s="227">
        <f>6000+4400</f>
        <v>10400</v>
      </c>
      <c r="N13" s="226"/>
      <c r="O13" s="226"/>
      <c r="P13" s="226"/>
      <c r="Q13" s="226"/>
    </row>
    <row r="14" spans="1:18">
      <c r="A14" s="224">
        <v>6</v>
      </c>
      <c r="B14" s="228" t="s">
        <v>529</v>
      </c>
      <c r="C14" s="226">
        <f t="shared" si="1"/>
        <v>7083</v>
      </c>
      <c r="D14" s="226"/>
      <c r="E14" s="226"/>
      <c r="F14" s="226"/>
      <c r="G14" s="226"/>
      <c r="H14" s="226"/>
      <c r="I14" s="226"/>
      <c r="J14" s="226"/>
      <c r="K14" s="226"/>
      <c r="L14" s="226"/>
      <c r="M14" s="227">
        <f>1683+5400</f>
        <v>7083</v>
      </c>
      <c r="N14" s="226"/>
      <c r="O14" s="226"/>
      <c r="P14" s="226"/>
      <c r="Q14" s="226"/>
    </row>
    <row r="15" spans="1:18">
      <c r="A15" s="224">
        <v>7</v>
      </c>
      <c r="B15" s="228" t="s">
        <v>530</v>
      </c>
      <c r="C15" s="226">
        <f t="shared" si="1"/>
        <v>15440</v>
      </c>
      <c r="D15" s="226"/>
      <c r="E15" s="226"/>
      <c r="F15" s="226"/>
      <c r="G15" s="226"/>
      <c r="H15" s="226"/>
      <c r="I15" s="226"/>
      <c r="J15" s="226"/>
      <c r="K15" s="226"/>
      <c r="L15" s="226"/>
      <c r="M15" s="227">
        <f>10000+5440</f>
        <v>15440</v>
      </c>
      <c r="N15" s="226"/>
      <c r="O15" s="226"/>
      <c r="P15" s="226"/>
      <c r="Q15" s="226"/>
    </row>
    <row r="16" spans="1:18">
      <c r="A16" s="224">
        <v>8</v>
      </c>
      <c r="B16" s="228" t="s">
        <v>531</v>
      </c>
      <c r="C16" s="226">
        <f t="shared" si="1"/>
        <v>5405</v>
      </c>
      <c r="D16" s="226"/>
      <c r="E16" s="226"/>
      <c r="F16" s="226"/>
      <c r="G16" s="226"/>
      <c r="H16" s="226"/>
      <c r="I16" s="226"/>
      <c r="J16" s="226"/>
      <c r="K16" s="226"/>
      <c r="L16" s="226"/>
      <c r="M16" s="227">
        <f>5000+405</f>
        <v>5405</v>
      </c>
      <c r="N16" s="226"/>
      <c r="O16" s="226"/>
      <c r="P16" s="226"/>
      <c r="Q16" s="226"/>
    </row>
    <row r="17" spans="1:17">
      <c r="A17" s="224">
        <v>9</v>
      </c>
      <c r="B17" s="228" t="s">
        <v>532</v>
      </c>
      <c r="C17" s="226">
        <f t="shared" si="1"/>
        <v>4760</v>
      </c>
      <c r="D17" s="226"/>
      <c r="E17" s="226"/>
      <c r="F17" s="226"/>
      <c r="G17" s="226"/>
      <c r="H17" s="226"/>
      <c r="I17" s="226"/>
      <c r="J17" s="226"/>
      <c r="K17" s="226"/>
      <c r="L17" s="226"/>
      <c r="M17" s="227">
        <f>1600+3160</f>
        <v>4760</v>
      </c>
      <c r="N17" s="226"/>
      <c r="O17" s="226"/>
      <c r="P17" s="226"/>
      <c r="Q17" s="226"/>
    </row>
    <row r="18" spans="1:17">
      <c r="A18" s="224">
        <v>10</v>
      </c>
      <c r="B18" s="228" t="s">
        <v>533</v>
      </c>
      <c r="C18" s="226">
        <f t="shared" si="1"/>
        <v>7000</v>
      </c>
      <c r="D18" s="226"/>
      <c r="E18" s="226"/>
      <c r="F18" s="226"/>
      <c r="G18" s="226"/>
      <c r="H18" s="226"/>
      <c r="I18" s="226"/>
      <c r="J18" s="226"/>
      <c r="K18" s="226"/>
      <c r="L18" s="226"/>
      <c r="M18" s="227">
        <f>7000</f>
        <v>7000</v>
      </c>
      <c r="N18" s="226"/>
      <c r="O18" s="226"/>
      <c r="P18" s="226"/>
      <c r="Q18" s="226"/>
    </row>
    <row r="19" spans="1:17" ht="31.5">
      <c r="A19" s="224">
        <v>11</v>
      </c>
      <c r="B19" s="225" t="s">
        <v>123</v>
      </c>
      <c r="C19" s="226">
        <f t="shared" si="1"/>
        <v>13696</v>
      </c>
      <c r="D19" s="226"/>
      <c r="E19" s="226"/>
      <c r="F19" s="226"/>
      <c r="G19" s="226"/>
      <c r="H19" s="226"/>
      <c r="I19" s="226"/>
      <c r="J19" s="226"/>
      <c r="K19" s="226"/>
      <c r="L19" s="226"/>
      <c r="M19" s="227">
        <f>13696</f>
        <v>13696</v>
      </c>
      <c r="N19" s="226"/>
      <c r="O19" s="226"/>
      <c r="P19" s="226"/>
      <c r="Q19" s="226"/>
    </row>
    <row r="20" spans="1:17" ht="31.5">
      <c r="A20" s="224">
        <v>12</v>
      </c>
      <c r="B20" s="225" t="s">
        <v>119</v>
      </c>
      <c r="C20" s="226">
        <f t="shared" si="1"/>
        <v>61322</v>
      </c>
      <c r="D20" s="226"/>
      <c r="E20" s="226"/>
      <c r="F20" s="226">
        <f>'[8]Biểu 58'!Q40</f>
        <v>6341</v>
      </c>
      <c r="G20" s="226"/>
      <c r="H20" s="226"/>
      <c r="I20" s="226"/>
      <c r="J20" s="226"/>
      <c r="K20" s="226"/>
      <c r="L20" s="226"/>
      <c r="M20" s="227">
        <v>54381</v>
      </c>
      <c r="N20" s="226">
        <f>'[8]Biểu 58'!Q183</f>
        <v>600</v>
      </c>
      <c r="O20" s="226"/>
      <c r="P20" s="226"/>
      <c r="Q20" s="226"/>
    </row>
    <row r="21" spans="1:17" ht="31.5">
      <c r="A21" s="224">
        <v>13</v>
      </c>
      <c r="B21" s="225" t="s">
        <v>118</v>
      </c>
      <c r="C21" s="226">
        <f t="shared" si="1"/>
        <v>26263</v>
      </c>
      <c r="D21" s="226"/>
      <c r="E21" s="226"/>
      <c r="F21" s="226"/>
      <c r="G21" s="226"/>
      <c r="H21" s="226"/>
      <c r="I21" s="226"/>
      <c r="J21" s="226"/>
      <c r="K21" s="226"/>
      <c r="L21" s="226"/>
      <c r="M21" s="227">
        <f>10000+11563</f>
        <v>21563</v>
      </c>
      <c r="N21" s="226">
        <f>'[8]Biểu 58'!Q174</f>
        <v>4700</v>
      </c>
      <c r="O21" s="226"/>
      <c r="P21" s="226"/>
      <c r="Q21" s="226"/>
    </row>
    <row r="22" spans="1:17" ht="31.5">
      <c r="A22" s="224">
        <v>14</v>
      </c>
      <c r="B22" s="225" t="s">
        <v>120</v>
      </c>
      <c r="C22" s="226">
        <f t="shared" si="1"/>
        <v>100575</v>
      </c>
      <c r="D22" s="226"/>
      <c r="E22" s="226"/>
      <c r="F22" s="226">
        <f>'[8]Biểu 58'!Q22+'[8]Biểu 58'!Q42</f>
        <v>24220</v>
      </c>
      <c r="G22" s="226"/>
      <c r="H22" s="226"/>
      <c r="I22" s="226"/>
      <c r="J22" s="226"/>
      <c r="K22" s="226"/>
      <c r="L22" s="226"/>
      <c r="M22" s="227">
        <f>74015</f>
        <v>74015</v>
      </c>
      <c r="N22" s="226">
        <f>'[8]Biểu 58'!Q180</f>
        <v>2340</v>
      </c>
      <c r="O22" s="226"/>
      <c r="P22" s="226"/>
      <c r="Q22" s="226"/>
    </row>
    <row r="23" spans="1:17" ht="31.5">
      <c r="A23" s="224">
        <v>15</v>
      </c>
      <c r="B23" s="225" t="s">
        <v>116</v>
      </c>
      <c r="C23" s="226">
        <f t="shared" si="1"/>
        <v>58238</v>
      </c>
      <c r="D23" s="226"/>
      <c r="E23" s="226"/>
      <c r="F23" s="226">
        <f>'[8]Biểu 58'!Q41</f>
        <v>14953</v>
      </c>
      <c r="G23" s="226"/>
      <c r="H23" s="226"/>
      <c r="I23" s="226">
        <v>2630</v>
      </c>
      <c r="J23" s="226"/>
      <c r="K23" s="226"/>
      <c r="L23" s="226"/>
      <c r="M23" s="227">
        <f>40655</f>
        <v>40655</v>
      </c>
      <c r="N23" s="226"/>
      <c r="O23" s="226"/>
      <c r="P23" s="226"/>
      <c r="Q23" s="226"/>
    </row>
    <row r="24" spans="1:17" ht="31.5">
      <c r="A24" s="224">
        <v>16</v>
      </c>
      <c r="B24" s="225" t="s">
        <v>121</v>
      </c>
      <c r="C24" s="226">
        <f t="shared" si="1"/>
        <v>8289</v>
      </c>
      <c r="D24" s="226"/>
      <c r="E24" s="226"/>
      <c r="F24" s="226"/>
      <c r="G24" s="226"/>
      <c r="H24" s="226"/>
      <c r="I24" s="226"/>
      <c r="J24" s="226"/>
      <c r="K24" s="226"/>
      <c r="L24" s="226"/>
      <c r="M24" s="227">
        <f>3832+2557</f>
        <v>6389</v>
      </c>
      <c r="N24" s="226">
        <f>'[8]Biểu 58'!Q177</f>
        <v>1900</v>
      </c>
      <c r="O24" s="226"/>
      <c r="P24" s="226"/>
      <c r="Q24" s="226"/>
    </row>
    <row r="25" spans="1:17" ht="31.5">
      <c r="A25" s="224">
        <v>17</v>
      </c>
      <c r="B25" s="225" t="s">
        <v>117</v>
      </c>
      <c r="C25" s="226">
        <f t="shared" si="1"/>
        <v>122435</v>
      </c>
      <c r="D25" s="226"/>
      <c r="E25" s="226"/>
      <c r="F25" s="226">
        <f>'[8]Biểu 58'!Q38+'[8]Biểu 58'!Q45</f>
        <v>20713</v>
      </c>
      <c r="G25" s="226"/>
      <c r="H25" s="226"/>
      <c r="I25" s="226">
        <v>5606</v>
      </c>
      <c r="J25" s="226"/>
      <c r="K25" s="226"/>
      <c r="L25" s="226"/>
      <c r="M25" s="227">
        <f>92046</f>
        <v>92046</v>
      </c>
      <c r="N25" s="226">
        <f>'[8]Biểu 58'!Q187</f>
        <v>4070</v>
      </c>
      <c r="O25" s="226"/>
      <c r="P25" s="226"/>
      <c r="Q25" s="226"/>
    </row>
    <row r="26" spans="1:17" ht="31.5">
      <c r="A26" s="224">
        <v>18</v>
      </c>
      <c r="B26" s="225" t="s">
        <v>124</v>
      </c>
      <c r="C26" s="226">
        <f t="shared" si="1"/>
        <v>61385</v>
      </c>
      <c r="D26" s="226"/>
      <c r="E26" s="226"/>
      <c r="F26" s="226">
        <f>'[8]Biểu 58'!Q39+'[8]Biểu 58'!Q46+'[8]Biểu 58'!Q48</f>
        <v>25171</v>
      </c>
      <c r="G26" s="226"/>
      <c r="H26" s="226"/>
      <c r="I26" s="226">
        <v>62</v>
      </c>
      <c r="J26" s="226"/>
      <c r="K26" s="226"/>
      <c r="L26" s="226"/>
      <c r="M26" s="227">
        <f>35452</f>
        <v>35452</v>
      </c>
      <c r="N26" s="226">
        <f>'[8]Biểu 58'!Q185</f>
        <v>700</v>
      </c>
      <c r="O26" s="226"/>
      <c r="P26" s="226"/>
      <c r="Q26" s="226"/>
    </row>
    <row r="27" spans="1:17" ht="31.5">
      <c r="A27" s="224">
        <v>19</v>
      </c>
      <c r="B27" s="225" t="s">
        <v>292</v>
      </c>
      <c r="C27" s="226">
        <f t="shared" si="1"/>
        <v>22900</v>
      </c>
      <c r="D27" s="226"/>
      <c r="E27" s="226"/>
      <c r="F27" s="226"/>
      <c r="G27" s="226"/>
      <c r="H27" s="226"/>
      <c r="I27" s="226"/>
      <c r="J27" s="226"/>
      <c r="K27" s="226"/>
      <c r="L27" s="226"/>
      <c r="M27" s="227">
        <v>22900</v>
      </c>
      <c r="N27" s="226"/>
      <c r="O27" s="226"/>
      <c r="P27" s="226"/>
      <c r="Q27" s="226"/>
    </row>
    <row r="28" spans="1:17">
      <c r="A28" s="224">
        <v>20</v>
      </c>
      <c r="B28" s="225" t="s">
        <v>43</v>
      </c>
      <c r="C28" s="226">
        <f t="shared" si="1"/>
        <v>12200</v>
      </c>
      <c r="D28" s="226"/>
      <c r="E28" s="226"/>
      <c r="F28" s="226"/>
      <c r="G28" s="226"/>
      <c r="H28" s="226">
        <f>'[8]Biểu 58'!Q55</f>
        <v>9200</v>
      </c>
      <c r="I28" s="226"/>
      <c r="J28" s="226"/>
      <c r="K28" s="226"/>
      <c r="L28" s="226"/>
      <c r="M28" s="227"/>
      <c r="N28" s="226">
        <f>'[8]Biểu 58'!Q193</f>
        <v>3000</v>
      </c>
      <c r="O28" s="226"/>
      <c r="P28" s="226"/>
      <c r="Q28" s="226"/>
    </row>
    <row r="29" spans="1:17" ht="31.5">
      <c r="A29" s="224">
        <v>21</v>
      </c>
      <c r="B29" s="225" t="s">
        <v>261</v>
      </c>
      <c r="C29" s="226">
        <f t="shared" si="1"/>
        <v>861239</v>
      </c>
      <c r="D29" s="226"/>
      <c r="E29" s="226"/>
      <c r="F29" s="226">
        <f>'[8]Biểu 58'!Q50</f>
        <v>22400</v>
      </c>
      <c r="G29" s="226"/>
      <c r="H29" s="226">
        <f>'[8]Biểu 58'!Q57</f>
        <v>138000</v>
      </c>
      <c r="I29" s="226"/>
      <c r="J29" s="226"/>
      <c r="K29" s="226"/>
      <c r="L29" s="226"/>
      <c r="M29" s="227">
        <f>610839</f>
        <v>610839</v>
      </c>
      <c r="N29" s="226">
        <f>'[8]Biểu 58'!Q169</f>
        <v>90000</v>
      </c>
      <c r="O29" s="226"/>
      <c r="P29" s="226"/>
      <c r="Q29" s="226"/>
    </row>
    <row r="30" spans="1:17" ht="31.5">
      <c r="A30" s="224">
        <v>22</v>
      </c>
      <c r="B30" s="225" t="s">
        <v>264</v>
      </c>
      <c r="C30" s="226">
        <f t="shared" si="1"/>
        <v>738982</v>
      </c>
      <c r="D30" s="226"/>
      <c r="E30" s="226"/>
      <c r="F30" s="226"/>
      <c r="G30" s="226"/>
      <c r="H30" s="226"/>
      <c r="I30" s="226"/>
      <c r="J30" s="226"/>
      <c r="K30" s="226"/>
      <c r="L30" s="226"/>
      <c r="M30" s="227">
        <f>738982</f>
        <v>738982</v>
      </c>
      <c r="N30" s="226"/>
      <c r="O30" s="226"/>
      <c r="P30" s="226"/>
      <c r="Q30" s="226"/>
    </row>
    <row r="31" spans="1:17">
      <c r="A31" s="224">
        <v>23</v>
      </c>
      <c r="B31" s="225" t="s">
        <v>274</v>
      </c>
      <c r="C31" s="226">
        <f t="shared" si="1"/>
        <v>15000</v>
      </c>
      <c r="D31" s="226"/>
      <c r="E31" s="226"/>
      <c r="F31" s="226"/>
      <c r="G31" s="226"/>
      <c r="H31" s="226"/>
      <c r="I31" s="226"/>
      <c r="J31" s="226"/>
      <c r="K31" s="226"/>
      <c r="L31" s="226"/>
      <c r="M31" s="227">
        <f>15000</f>
        <v>15000</v>
      </c>
      <c r="N31" s="226"/>
      <c r="O31" s="226"/>
      <c r="P31" s="226"/>
      <c r="Q31" s="226"/>
    </row>
    <row r="32" spans="1:17">
      <c r="A32" s="224">
        <v>24</v>
      </c>
      <c r="B32" s="225" t="s">
        <v>276</v>
      </c>
      <c r="C32" s="226">
        <f t="shared" si="1"/>
        <v>600</v>
      </c>
      <c r="D32" s="226"/>
      <c r="E32" s="226"/>
      <c r="F32" s="226"/>
      <c r="G32" s="226"/>
      <c r="H32" s="226"/>
      <c r="I32" s="226"/>
      <c r="J32" s="226"/>
      <c r="K32" s="226"/>
      <c r="L32" s="226"/>
      <c r="M32" s="227"/>
      <c r="N32" s="226">
        <f>'[8]Biểu 58'!Q167</f>
        <v>600</v>
      </c>
      <c r="O32" s="226"/>
      <c r="P32" s="226"/>
      <c r="Q32" s="226"/>
    </row>
    <row r="33" spans="1:17">
      <c r="A33" s="224">
        <v>25</v>
      </c>
      <c r="B33" s="225" t="s">
        <v>534</v>
      </c>
      <c r="C33" s="226">
        <f t="shared" si="1"/>
        <v>50000</v>
      </c>
      <c r="D33" s="226"/>
      <c r="E33" s="226"/>
      <c r="F33" s="226"/>
      <c r="G33" s="226"/>
      <c r="H33" s="226"/>
      <c r="I33" s="226"/>
      <c r="J33" s="226"/>
      <c r="K33" s="226"/>
      <c r="L33" s="226"/>
      <c r="M33" s="227">
        <f>50000</f>
        <v>50000</v>
      </c>
      <c r="N33" s="226"/>
      <c r="O33" s="226"/>
      <c r="P33" s="226"/>
      <c r="Q33" s="226"/>
    </row>
    <row r="34" spans="1:17" ht="31.5">
      <c r="A34" s="224">
        <v>26</v>
      </c>
      <c r="B34" s="225" t="s">
        <v>278</v>
      </c>
      <c r="C34" s="226">
        <f t="shared" si="1"/>
        <v>35000</v>
      </c>
      <c r="D34" s="226"/>
      <c r="E34" s="226"/>
      <c r="F34" s="226"/>
      <c r="G34" s="226"/>
      <c r="H34" s="226"/>
      <c r="I34" s="226"/>
      <c r="J34" s="226"/>
      <c r="K34" s="226"/>
      <c r="L34" s="226"/>
      <c r="M34" s="227">
        <f>35000</f>
        <v>35000</v>
      </c>
      <c r="N34" s="226"/>
      <c r="O34" s="226"/>
      <c r="P34" s="226"/>
      <c r="Q34" s="226"/>
    </row>
    <row r="35" spans="1:17">
      <c r="A35" s="224">
        <v>27</v>
      </c>
      <c r="B35" s="225" t="s">
        <v>282</v>
      </c>
      <c r="C35" s="226">
        <f t="shared" si="1"/>
        <v>0</v>
      </c>
      <c r="D35" s="226"/>
      <c r="E35" s="226"/>
      <c r="F35" s="226"/>
      <c r="G35" s="226"/>
      <c r="H35" s="226"/>
      <c r="I35" s="226"/>
      <c r="J35" s="226"/>
      <c r="K35" s="226"/>
      <c r="L35" s="226"/>
      <c r="M35" s="227"/>
      <c r="N35" s="226"/>
      <c r="O35" s="226"/>
      <c r="P35" s="226"/>
      <c r="Q35" s="226"/>
    </row>
    <row r="36" spans="1:17" ht="31.5">
      <c r="A36" s="224">
        <v>28</v>
      </c>
      <c r="B36" s="225" t="s">
        <v>296</v>
      </c>
      <c r="C36" s="226">
        <f t="shared" si="1"/>
        <v>0</v>
      </c>
      <c r="D36" s="226"/>
      <c r="E36" s="226"/>
      <c r="F36" s="226"/>
      <c r="G36" s="226"/>
      <c r="H36" s="226"/>
      <c r="I36" s="226"/>
      <c r="J36" s="226"/>
      <c r="K36" s="226"/>
      <c r="L36" s="226"/>
      <c r="M36" s="227"/>
      <c r="N36" s="226"/>
      <c r="O36" s="226"/>
      <c r="P36" s="226"/>
      <c r="Q36" s="226"/>
    </row>
    <row r="37" spans="1:17">
      <c r="A37" s="224">
        <v>29</v>
      </c>
      <c r="B37" s="225" t="s">
        <v>257</v>
      </c>
      <c r="C37" s="226">
        <f t="shared" si="1"/>
        <v>10000</v>
      </c>
      <c r="D37" s="226"/>
      <c r="E37" s="226"/>
      <c r="F37" s="226"/>
      <c r="G37" s="226">
        <f>'[8]Biểu 58'!Q52</f>
        <v>10000</v>
      </c>
      <c r="H37" s="226"/>
      <c r="I37" s="226"/>
      <c r="J37" s="226"/>
      <c r="K37" s="226"/>
      <c r="L37" s="226"/>
      <c r="M37" s="227"/>
      <c r="N37" s="226"/>
      <c r="O37" s="226"/>
      <c r="P37" s="226"/>
      <c r="Q37" s="226"/>
    </row>
    <row r="38" spans="1:17">
      <c r="A38" s="224">
        <v>30</v>
      </c>
      <c r="B38" s="225" t="s">
        <v>483</v>
      </c>
      <c r="C38" s="226">
        <f t="shared" si="1"/>
        <v>20000</v>
      </c>
      <c r="D38" s="226"/>
      <c r="E38" s="226"/>
      <c r="F38" s="226"/>
      <c r="G38" s="226"/>
      <c r="H38" s="226"/>
      <c r="I38" s="226"/>
      <c r="J38" s="226"/>
      <c r="K38" s="226"/>
      <c r="L38" s="226"/>
      <c r="M38" s="227"/>
      <c r="N38" s="226">
        <f>'[8]Biểu 58'!Q197</f>
        <v>20000</v>
      </c>
      <c r="O38" s="226"/>
      <c r="P38" s="226"/>
      <c r="Q38" s="226"/>
    </row>
    <row r="39" spans="1:17">
      <c r="A39" s="224">
        <v>31</v>
      </c>
      <c r="B39" s="225" t="s">
        <v>276</v>
      </c>
      <c r="C39" s="226">
        <f t="shared" si="1"/>
        <v>0</v>
      </c>
      <c r="D39" s="226"/>
      <c r="E39" s="226"/>
      <c r="F39" s="226"/>
      <c r="G39" s="226"/>
      <c r="H39" s="226"/>
      <c r="I39" s="226"/>
      <c r="J39" s="226"/>
      <c r="K39" s="226"/>
      <c r="L39" s="226"/>
      <c r="M39" s="227"/>
      <c r="N39" s="226"/>
      <c r="O39" s="226"/>
      <c r="P39" s="226"/>
      <c r="Q39" s="226"/>
    </row>
    <row r="40" spans="1:17">
      <c r="A40" s="224">
        <v>32</v>
      </c>
      <c r="B40" s="225" t="s">
        <v>299</v>
      </c>
      <c r="C40" s="226">
        <f t="shared" si="1"/>
        <v>28000</v>
      </c>
      <c r="D40" s="226"/>
      <c r="E40" s="226"/>
      <c r="F40" s="226"/>
      <c r="G40" s="226"/>
      <c r="H40" s="226"/>
      <c r="I40" s="226"/>
      <c r="J40" s="226"/>
      <c r="K40" s="226"/>
      <c r="L40" s="226"/>
      <c r="M40" s="227"/>
      <c r="N40" s="226">
        <f>'[8]Biểu 58'!Q189</f>
        <v>10000</v>
      </c>
      <c r="O40" s="226">
        <f>'[8]Biểu 58'!Q200</f>
        <v>18000</v>
      </c>
      <c r="P40" s="226"/>
      <c r="Q40" s="226"/>
    </row>
    <row r="41" spans="1:17">
      <c r="A41" s="224">
        <v>33</v>
      </c>
      <c r="B41" s="225" t="s">
        <v>535</v>
      </c>
      <c r="C41" s="226">
        <f t="shared" si="1"/>
        <v>10000</v>
      </c>
      <c r="D41" s="226"/>
      <c r="E41" s="226"/>
      <c r="F41" s="226"/>
      <c r="G41" s="226"/>
      <c r="H41" s="226"/>
      <c r="I41" s="226">
        <f>'[8]Biểu 58'!Q208</f>
        <v>10000</v>
      </c>
      <c r="J41" s="226"/>
      <c r="K41" s="226"/>
      <c r="L41" s="226"/>
      <c r="M41" s="227"/>
      <c r="N41" s="226"/>
      <c r="O41" s="226"/>
      <c r="P41" s="226"/>
      <c r="Q41" s="226"/>
    </row>
    <row r="42" spans="1:17">
      <c r="A42" s="224">
        <v>34</v>
      </c>
      <c r="B42" s="225" t="s">
        <v>536</v>
      </c>
      <c r="C42" s="226">
        <f t="shared" si="1"/>
        <v>1250</v>
      </c>
      <c r="D42" s="226"/>
      <c r="E42" s="226"/>
      <c r="F42" s="226"/>
      <c r="G42" s="226"/>
      <c r="H42" s="226"/>
      <c r="I42" s="226"/>
      <c r="J42" s="226"/>
      <c r="K42" s="226"/>
      <c r="L42" s="226"/>
      <c r="M42" s="227"/>
      <c r="N42" s="226">
        <f>'[8]Biểu 58'!Q191</f>
        <v>1250</v>
      </c>
      <c r="O42" s="226"/>
      <c r="P42" s="226"/>
      <c r="Q42" s="226"/>
    </row>
    <row r="43" spans="1:17">
      <c r="A43" s="224">
        <v>35</v>
      </c>
      <c r="B43" s="225" t="s">
        <v>537</v>
      </c>
      <c r="C43" s="226">
        <f t="shared" si="1"/>
        <v>5000</v>
      </c>
      <c r="D43" s="226"/>
      <c r="E43" s="226"/>
      <c r="F43" s="226"/>
      <c r="G43" s="226"/>
      <c r="H43" s="226"/>
      <c r="I43" s="226"/>
      <c r="J43" s="226"/>
      <c r="K43" s="226"/>
      <c r="L43" s="226"/>
      <c r="M43" s="227"/>
      <c r="N43" s="226">
        <f>'[8]Biểu 58'!Q172</f>
        <v>5000</v>
      </c>
      <c r="O43" s="226"/>
      <c r="P43" s="226"/>
      <c r="Q43" s="226"/>
    </row>
    <row r="44" spans="1:17">
      <c r="A44" s="224">
        <v>36</v>
      </c>
      <c r="B44" s="225" t="s">
        <v>538</v>
      </c>
      <c r="C44" s="226">
        <f t="shared" si="1"/>
        <v>300</v>
      </c>
      <c r="D44" s="226"/>
      <c r="E44" s="226"/>
      <c r="F44" s="226"/>
      <c r="G44" s="226"/>
      <c r="H44" s="226"/>
      <c r="I44" s="226"/>
      <c r="J44" s="226"/>
      <c r="K44" s="226"/>
      <c r="L44" s="226"/>
      <c r="M44" s="227"/>
      <c r="N44" s="226">
        <f>'[8]Biểu 58'!Q195</f>
        <v>300</v>
      </c>
      <c r="O44" s="226"/>
      <c r="P44" s="226"/>
      <c r="Q44" s="226"/>
    </row>
    <row r="45" spans="1:17">
      <c r="A45" s="224">
        <v>37</v>
      </c>
      <c r="B45" s="225" t="s">
        <v>539</v>
      </c>
      <c r="C45" s="226">
        <f t="shared" si="1"/>
        <v>6711</v>
      </c>
      <c r="D45" s="226"/>
      <c r="E45" s="226"/>
      <c r="F45" s="226">
        <f>'[8]Biểu 58'!Q49</f>
        <v>6711</v>
      </c>
      <c r="G45" s="226"/>
      <c r="H45" s="226"/>
      <c r="I45" s="226"/>
      <c r="J45" s="226"/>
      <c r="K45" s="226"/>
      <c r="L45" s="226"/>
      <c r="M45" s="227"/>
      <c r="N45" s="226"/>
      <c r="O45" s="226"/>
      <c r="P45" s="226"/>
      <c r="Q45" s="226"/>
    </row>
    <row r="46" spans="1:17">
      <c r="A46" s="224">
        <v>38</v>
      </c>
      <c r="B46" s="225" t="s">
        <v>540</v>
      </c>
      <c r="C46" s="226">
        <f t="shared" si="1"/>
        <v>547221</v>
      </c>
      <c r="D46" s="226"/>
      <c r="E46" s="226"/>
      <c r="F46" s="226"/>
      <c r="G46" s="226"/>
      <c r="H46" s="226"/>
      <c r="I46" s="226"/>
      <c r="J46" s="226"/>
      <c r="K46" s="226"/>
      <c r="L46" s="226"/>
      <c r="M46" s="227"/>
      <c r="N46" s="226"/>
      <c r="O46" s="226"/>
      <c r="P46" s="226"/>
      <c r="Q46" s="226">
        <f>'[8]Biểu 58'!Q209</f>
        <v>547221</v>
      </c>
    </row>
  </sheetData>
  <mergeCells count="8">
    <mergeCell ref="L1:P1"/>
    <mergeCell ref="A3:P3"/>
    <mergeCell ref="A4:P4"/>
    <mergeCell ref="N5:P5"/>
    <mergeCell ref="A6:A7"/>
    <mergeCell ref="B6:B7"/>
    <mergeCell ref="C6:C7"/>
    <mergeCell ref="D6:P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228"/>
  <sheetViews>
    <sheetView zoomScale="66" zoomScaleNormal="66" workbookViewId="0">
      <selection activeCell="Y51" sqref="Y51"/>
    </sheetView>
  </sheetViews>
  <sheetFormatPr defaultColWidth="9.140625" defaultRowHeight="15.75"/>
  <cols>
    <col min="1" max="1" width="7.7109375" style="234" customWidth="1"/>
    <col min="2" max="2" width="36.28515625" style="233" customWidth="1"/>
    <col min="3" max="3" width="12.140625" style="235" customWidth="1"/>
    <col min="4" max="5" width="9.140625" style="233"/>
    <col min="6" max="6" width="22.28515625" style="233" customWidth="1"/>
    <col min="7" max="7" width="12.7109375" style="233" customWidth="1"/>
    <col min="8" max="10" width="11.42578125" style="233" customWidth="1"/>
    <col min="11" max="11" width="9.140625" style="233"/>
    <col min="12" max="15" width="11.5703125" style="233" customWidth="1"/>
    <col min="16" max="16" width="9.140625" style="233"/>
    <col min="17" max="17" width="11.42578125" style="233" customWidth="1"/>
    <col min="18" max="19" width="9.140625" style="233"/>
    <col min="20" max="20" width="9.7109375" style="233" customWidth="1"/>
    <col min="21" max="21" width="11.28515625" style="233" customWidth="1"/>
    <col min="22" max="22" width="10.28515625" style="233" customWidth="1"/>
    <col min="23" max="23" width="9.140625" style="233"/>
    <col min="24" max="24" width="44.42578125" style="233" customWidth="1"/>
    <col min="25" max="25" width="21.42578125" style="233" customWidth="1"/>
    <col min="26" max="26" width="16.140625" style="233" customWidth="1"/>
    <col min="27" max="16384" width="9.140625" style="233"/>
  </cols>
  <sheetData>
    <row r="1" spans="1:26">
      <c r="A1" s="835" t="s">
        <v>541</v>
      </c>
      <c r="B1" s="835"/>
      <c r="C1" s="230"/>
      <c r="D1" s="230"/>
      <c r="E1" s="230"/>
      <c r="F1" s="230"/>
      <c r="G1" s="231"/>
      <c r="H1" s="231"/>
      <c r="I1" s="231"/>
      <c r="J1" s="231"/>
      <c r="K1" s="231"/>
      <c r="L1" s="231"/>
      <c r="M1" s="231"/>
      <c r="N1" s="231"/>
      <c r="O1" s="231"/>
      <c r="P1" s="232"/>
      <c r="Q1" s="232"/>
      <c r="R1" s="231"/>
      <c r="S1" s="836" t="s">
        <v>321</v>
      </c>
      <c r="T1" s="836"/>
      <c r="U1" s="836"/>
      <c r="V1" s="836"/>
      <c r="W1" s="836"/>
      <c r="X1" s="836"/>
    </row>
    <row r="2" spans="1:26" ht="22.9" customHeight="1">
      <c r="A2" s="837" t="s">
        <v>542</v>
      </c>
      <c r="B2" s="837"/>
      <c r="C2" s="837"/>
      <c r="D2" s="837"/>
      <c r="E2" s="837"/>
      <c r="F2" s="837"/>
      <c r="G2" s="837"/>
      <c r="H2" s="837"/>
      <c r="I2" s="837"/>
      <c r="J2" s="837"/>
      <c r="K2" s="837"/>
      <c r="L2" s="837"/>
      <c r="M2" s="837"/>
      <c r="N2" s="837"/>
      <c r="O2" s="837"/>
      <c r="P2" s="837"/>
      <c r="Q2" s="837"/>
      <c r="R2" s="837"/>
      <c r="S2" s="837"/>
      <c r="T2" s="837"/>
      <c r="U2" s="837"/>
      <c r="V2" s="837"/>
      <c r="W2" s="837"/>
      <c r="X2" s="837"/>
    </row>
    <row r="3" spans="1:26" ht="22.9" customHeight="1">
      <c r="A3" s="838" t="s">
        <v>147</v>
      </c>
      <c r="B3" s="838"/>
      <c r="C3" s="838"/>
      <c r="D3" s="838"/>
      <c r="E3" s="838"/>
      <c r="F3" s="838"/>
      <c r="G3" s="838"/>
      <c r="H3" s="838"/>
      <c r="I3" s="838"/>
      <c r="J3" s="838"/>
      <c r="K3" s="838"/>
      <c r="L3" s="838"/>
      <c r="M3" s="838"/>
      <c r="N3" s="838"/>
      <c r="O3" s="838"/>
      <c r="P3" s="838"/>
      <c r="Q3" s="838"/>
      <c r="R3" s="838"/>
      <c r="S3" s="838"/>
      <c r="T3" s="838"/>
      <c r="U3" s="838"/>
      <c r="V3" s="838"/>
      <c r="W3" s="838"/>
      <c r="X3" s="838"/>
    </row>
    <row r="4" spans="1:26" s="234" customFormat="1" ht="26.25" customHeight="1">
      <c r="C4" s="235"/>
      <c r="V4" s="839" t="s">
        <v>1</v>
      </c>
      <c r="W4" s="839"/>
      <c r="X4" s="839"/>
    </row>
    <row r="5" spans="1:26" s="234" customFormat="1" ht="18" customHeight="1">
      <c r="A5" s="833" t="s">
        <v>322</v>
      </c>
      <c r="B5" s="833" t="s">
        <v>5</v>
      </c>
      <c r="C5" s="834" t="s">
        <v>149</v>
      </c>
      <c r="D5" s="834" t="s">
        <v>150</v>
      </c>
      <c r="E5" s="834" t="s">
        <v>323</v>
      </c>
      <c r="F5" s="834" t="s">
        <v>324</v>
      </c>
      <c r="G5" s="834"/>
      <c r="H5" s="834"/>
      <c r="I5" s="834"/>
      <c r="J5" s="834"/>
      <c r="K5" s="834"/>
      <c r="L5" s="834" t="s">
        <v>497</v>
      </c>
      <c r="M5" s="834"/>
      <c r="N5" s="834"/>
      <c r="O5" s="834"/>
      <c r="P5" s="834"/>
      <c r="Q5" s="834" t="s">
        <v>505</v>
      </c>
      <c r="R5" s="834"/>
      <c r="S5" s="834"/>
      <c r="T5" s="834"/>
      <c r="U5" s="834"/>
      <c r="V5" s="834"/>
      <c r="W5" s="834"/>
      <c r="X5" s="834" t="s">
        <v>543</v>
      </c>
    </row>
    <row r="6" spans="1:26" ht="19.149999999999999" customHeight="1">
      <c r="A6" s="833"/>
      <c r="B6" s="833"/>
      <c r="C6" s="834"/>
      <c r="D6" s="834"/>
      <c r="E6" s="834"/>
      <c r="F6" s="834" t="s">
        <v>151</v>
      </c>
      <c r="G6" s="834" t="s">
        <v>152</v>
      </c>
      <c r="H6" s="834"/>
      <c r="I6" s="834"/>
      <c r="J6" s="834"/>
      <c r="K6" s="834"/>
      <c r="L6" s="834" t="s">
        <v>27</v>
      </c>
      <c r="M6" s="236"/>
      <c r="N6" s="834" t="s">
        <v>325</v>
      </c>
      <c r="O6" s="834"/>
      <c r="P6" s="834"/>
      <c r="Q6" s="834" t="s">
        <v>27</v>
      </c>
      <c r="R6" s="834" t="s">
        <v>153</v>
      </c>
      <c r="S6" s="834"/>
      <c r="T6" s="834"/>
      <c r="U6" s="834"/>
      <c r="V6" s="834"/>
      <c r="W6" s="834"/>
      <c r="X6" s="834"/>
    </row>
    <row r="7" spans="1:26" s="229" customFormat="1" ht="36" customHeight="1">
      <c r="A7" s="833"/>
      <c r="B7" s="833"/>
      <c r="C7" s="834"/>
      <c r="D7" s="834"/>
      <c r="E7" s="834"/>
      <c r="F7" s="834"/>
      <c r="G7" s="834" t="s">
        <v>27</v>
      </c>
      <c r="H7" s="834" t="s">
        <v>96</v>
      </c>
      <c r="I7" s="834"/>
      <c r="J7" s="834"/>
      <c r="K7" s="834"/>
      <c r="L7" s="834"/>
      <c r="M7" s="834" t="s">
        <v>544</v>
      </c>
      <c r="N7" s="834" t="s">
        <v>154</v>
      </c>
      <c r="O7" s="834" t="s">
        <v>545</v>
      </c>
      <c r="P7" s="834" t="s">
        <v>13</v>
      </c>
      <c r="Q7" s="834"/>
      <c r="R7" s="834" t="s">
        <v>327</v>
      </c>
      <c r="S7" s="834" t="s">
        <v>328</v>
      </c>
      <c r="T7" s="834" t="s">
        <v>329</v>
      </c>
      <c r="U7" s="834" t="s">
        <v>546</v>
      </c>
      <c r="V7" s="834" t="s">
        <v>547</v>
      </c>
      <c r="W7" s="834" t="s">
        <v>548</v>
      </c>
      <c r="X7" s="834"/>
    </row>
    <row r="8" spans="1:26" s="229" customFormat="1" ht="26.45" customHeight="1">
      <c r="A8" s="833"/>
      <c r="B8" s="833"/>
      <c r="C8" s="834"/>
      <c r="D8" s="834"/>
      <c r="E8" s="834"/>
      <c r="F8" s="834"/>
      <c r="G8" s="834"/>
      <c r="H8" s="834" t="s">
        <v>544</v>
      </c>
      <c r="I8" s="834" t="s">
        <v>331</v>
      </c>
      <c r="J8" s="834" t="s">
        <v>326</v>
      </c>
      <c r="K8" s="834" t="s">
        <v>332</v>
      </c>
      <c r="L8" s="834"/>
      <c r="M8" s="834"/>
      <c r="N8" s="834"/>
      <c r="O8" s="834"/>
      <c r="P8" s="834"/>
      <c r="Q8" s="834"/>
      <c r="R8" s="834"/>
      <c r="S8" s="834"/>
      <c r="T8" s="834"/>
      <c r="U8" s="834"/>
      <c r="V8" s="834"/>
      <c r="W8" s="834"/>
      <c r="X8" s="834"/>
    </row>
    <row r="9" spans="1:26" s="229" customFormat="1" ht="55.9" customHeight="1">
      <c r="A9" s="833"/>
      <c r="B9" s="833"/>
      <c r="C9" s="834"/>
      <c r="D9" s="834"/>
      <c r="E9" s="834"/>
      <c r="F9" s="834"/>
      <c r="G9" s="834"/>
      <c r="H9" s="834"/>
      <c r="I9" s="834"/>
      <c r="J9" s="834"/>
      <c r="K9" s="834"/>
      <c r="L9" s="834"/>
      <c r="M9" s="834"/>
      <c r="N9" s="834"/>
      <c r="O9" s="834"/>
      <c r="P9" s="834"/>
      <c r="Q9" s="834"/>
      <c r="R9" s="834"/>
      <c r="S9" s="834"/>
      <c r="T9" s="834"/>
      <c r="U9" s="834"/>
      <c r="V9" s="834"/>
      <c r="W9" s="834"/>
      <c r="X9" s="834"/>
    </row>
    <row r="10" spans="1:26" ht="36" customHeight="1">
      <c r="A10" s="237"/>
      <c r="B10" s="237" t="s">
        <v>387</v>
      </c>
      <c r="C10" s="238"/>
      <c r="D10" s="239"/>
      <c r="E10" s="239"/>
      <c r="F10" s="239"/>
      <c r="G10" s="240">
        <f t="shared" ref="G10:W10" si="0">G11+G15+G21+G51+G54+G60+G166+G199+G209+G202</f>
        <v>16188831</v>
      </c>
      <c r="H10" s="240">
        <f t="shared" si="0"/>
        <v>2041394</v>
      </c>
      <c r="I10" s="240">
        <f t="shared" si="0"/>
        <v>6267380</v>
      </c>
      <c r="J10" s="240">
        <f t="shared" si="0"/>
        <v>7522185.9900000002</v>
      </c>
      <c r="K10" s="240">
        <f t="shared" si="0"/>
        <v>360749.01</v>
      </c>
      <c r="L10" s="240">
        <f t="shared" si="0"/>
        <v>8270475</v>
      </c>
      <c r="M10" s="240">
        <f t="shared" si="0"/>
        <v>1054912</v>
      </c>
      <c r="N10" s="240">
        <f t="shared" si="0"/>
        <v>4192377</v>
      </c>
      <c r="O10" s="240">
        <f t="shared" si="0"/>
        <v>2887217</v>
      </c>
      <c r="P10" s="240">
        <f t="shared" si="0"/>
        <v>135969</v>
      </c>
      <c r="Q10" s="240">
        <f t="shared" si="0"/>
        <v>2923540.3650793652</v>
      </c>
      <c r="R10" s="240">
        <f t="shared" si="0"/>
        <v>449634</v>
      </c>
      <c r="S10" s="240">
        <f t="shared" si="0"/>
        <v>50000</v>
      </c>
      <c r="T10" s="240">
        <f t="shared" si="0"/>
        <v>493450</v>
      </c>
      <c r="U10" s="240">
        <f t="shared" si="0"/>
        <v>1527166</v>
      </c>
      <c r="V10" s="240">
        <f t="shared" si="0"/>
        <v>287590</v>
      </c>
      <c r="W10" s="240">
        <f t="shared" si="0"/>
        <v>115700.36507936507</v>
      </c>
      <c r="X10" s="241"/>
      <c r="Y10" s="232">
        <f>N10+O10+P10</f>
        <v>7215563</v>
      </c>
      <c r="Z10" s="232">
        <f>L10-Y10</f>
        <v>1054912</v>
      </c>
    </row>
    <row r="11" spans="1:26" s="248" customFormat="1" ht="37.9" customHeight="1">
      <c r="A11" s="242" t="s">
        <v>97</v>
      </c>
      <c r="B11" s="243" t="s">
        <v>125</v>
      </c>
      <c r="C11" s="244"/>
      <c r="D11" s="245"/>
      <c r="E11" s="245"/>
      <c r="F11" s="245"/>
      <c r="G11" s="246">
        <f>G12</f>
        <v>28500</v>
      </c>
      <c r="H11" s="246">
        <f t="shared" ref="H11:W11" si="1">H12</f>
        <v>0</v>
      </c>
      <c r="I11" s="246">
        <f t="shared" si="1"/>
        <v>0</v>
      </c>
      <c r="J11" s="246">
        <f t="shared" si="1"/>
        <v>28500</v>
      </c>
      <c r="K11" s="246">
        <f t="shared" si="1"/>
        <v>0</v>
      </c>
      <c r="L11" s="246">
        <f t="shared" si="1"/>
        <v>12734</v>
      </c>
      <c r="M11" s="246">
        <f t="shared" si="1"/>
        <v>0</v>
      </c>
      <c r="N11" s="246">
        <f t="shared" si="1"/>
        <v>0</v>
      </c>
      <c r="O11" s="246">
        <f t="shared" si="1"/>
        <v>12734</v>
      </c>
      <c r="P11" s="246">
        <f t="shared" si="1"/>
        <v>0</v>
      </c>
      <c r="Q11" s="246">
        <f t="shared" si="1"/>
        <v>15766</v>
      </c>
      <c r="R11" s="246">
        <f t="shared" si="1"/>
        <v>15766</v>
      </c>
      <c r="S11" s="246">
        <f t="shared" si="1"/>
        <v>0</v>
      </c>
      <c r="T11" s="246">
        <f t="shared" si="1"/>
        <v>0</v>
      </c>
      <c r="U11" s="246">
        <f t="shared" si="1"/>
        <v>0</v>
      </c>
      <c r="V11" s="246">
        <f t="shared" si="1"/>
        <v>0</v>
      </c>
      <c r="W11" s="246">
        <f t="shared" si="1"/>
        <v>0</v>
      </c>
      <c r="X11" s="245"/>
      <c r="Y11" s="247">
        <f t="shared" ref="Y11:Y93" si="2">N11+O11+P11</f>
        <v>12734</v>
      </c>
      <c r="Z11" s="247">
        <f>L11-Y11</f>
        <v>0</v>
      </c>
    </row>
    <row r="12" spans="1:26" ht="37.9" customHeight="1">
      <c r="A12" s="249">
        <v>1</v>
      </c>
      <c r="B12" s="250" t="s">
        <v>388</v>
      </c>
      <c r="C12" s="251"/>
      <c r="D12" s="252"/>
      <c r="E12" s="252"/>
      <c r="F12" s="199"/>
      <c r="G12" s="253">
        <f>SUM(G13:G14)</f>
        <v>28500</v>
      </c>
      <c r="H12" s="253">
        <f t="shared" ref="H12:L12" si="3">SUM(H13:H14)</f>
        <v>0</v>
      </c>
      <c r="I12" s="253">
        <f t="shared" si="3"/>
        <v>0</v>
      </c>
      <c r="J12" s="253">
        <f t="shared" si="3"/>
        <v>28500</v>
      </c>
      <c r="K12" s="253">
        <f t="shared" si="3"/>
        <v>0</v>
      </c>
      <c r="L12" s="253">
        <f t="shared" si="3"/>
        <v>12734</v>
      </c>
      <c r="M12" s="253"/>
      <c r="N12" s="253">
        <f t="shared" ref="N12:W12" si="4">SUM(N13:N14)</f>
        <v>0</v>
      </c>
      <c r="O12" s="253">
        <f t="shared" si="4"/>
        <v>12734</v>
      </c>
      <c r="P12" s="253">
        <f t="shared" si="4"/>
        <v>0</v>
      </c>
      <c r="Q12" s="253">
        <f t="shared" si="4"/>
        <v>15766</v>
      </c>
      <c r="R12" s="253">
        <f t="shared" si="4"/>
        <v>15766</v>
      </c>
      <c r="S12" s="253">
        <f t="shared" si="4"/>
        <v>0</v>
      </c>
      <c r="T12" s="253">
        <f t="shared" si="4"/>
        <v>0</v>
      </c>
      <c r="U12" s="253">
        <f t="shared" si="4"/>
        <v>0</v>
      </c>
      <c r="V12" s="253">
        <f t="shared" si="4"/>
        <v>0</v>
      </c>
      <c r="W12" s="253">
        <f t="shared" si="4"/>
        <v>0</v>
      </c>
      <c r="X12" s="239"/>
      <c r="Y12" s="232">
        <f t="shared" si="2"/>
        <v>12734</v>
      </c>
      <c r="Z12" s="232">
        <f>L12-Y12</f>
        <v>0</v>
      </c>
    </row>
    <row r="13" spans="1:26" ht="37.9" customHeight="1">
      <c r="A13" s="254"/>
      <c r="B13" s="255" t="s">
        <v>493</v>
      </c>
      <c r="C13" s="238" t="s">
        <v>155</v>
      </c>
      <c r="D13" s="239"/>
      <c r="E13" s="239"/>
      <c r="F13" s="256" t="s">
        <v>495</v>
      </c>
      <c r="G13" s="257">
        <v>14500</v>
      </c>
      <c r="H13" s="197"/>
      <c r="I13" s="197"/>
      <c r="J13" s="197">
        <v>14500</v>
      </c>
      <c r="K13" s="258"/>
      <c r="L13" s="197">
        <v>8000</v>
      </c>
      <c r="M13" s="197"/>
      <c r="N13" s="258"/>
      <c r="O13" s="197">
        <v>8000</v>
      </c>
      <c r="P13" s="259"/>
      <c r="Q13" s="197">
        <f>SUM(R13:W13)</f>
        <v>6500</v>
      </c>
      <c r="R13" s="197">
        <v>6500</v>
      </c>
      <c r="S13" s="197"/>
      <c r="T13" s="197"/>
      <c r="U13" s="197"/>
      <c r="V13" s="197"/>
      <c r="W13" s="197"/>
      <c r="X13" s="260" t="s">
        <v>122</v>
      </c>
      <c r="Y13" s="232"/>
      <c r="Z13" s="232"/>
    </row>
    <row r="14" spans="1:26" ht="37.9" customHeight="1">
      <c r="A14" s="254"/>
      <c r="B14" s="255" t="s">
        <v>494</v>
      </c>
      <c r="C14" s="238" t="s">
        <v>157</v>
      </c>
      <c r="D14" s="239"/>
      <c r="E14" s="239"/>
      <c r="F14" s="256" t="s">
        <v>496</v>
      </c>
      <c r="G14" s="257">
        <v>14000</v>
      </c>
      <c r="H14" s="197"/>
      <c r="I14" s="197"/>
      <c r="J14" s="197">
        <v>14000</v>
      </c>
      <c r="K14" s="258"/>
      <c r="L14" s="197">
        <v>4734</v>
      </c>
      <c r="M14" s="197"/>
      <c r="N14" s="258"/>
      <c r="O14" s="197">
        <v>4734</v>
      </c>
      <c r="P14" s="259"/>
      <c r="Q14" s="197">
        <f>SUM(R14:W14)</f>
        <v>9266</v>
      </c>
      <c r="R14" s="197">
        <v>9266</v>
      </c>
      <c r="S14" s="197"/>
      <c r="T14" s="197"/>
      <c r="U14" s="197"/>
      <c r="V14" s="197"/>
      <c r="W14" s="197"/>
      <c r="X14" s="260" t="s">
        <v>122</v>
      </c>
      <c r="Y14" s="232"/>
      <c r="Z14" s="232"/>
    </row>
    <row r="15" spans="1:26" s="248" customFormat="1" ht="32.450000000000003" customHeight="1">
      <c r="A15" s="242" t="s">
        <v>49</v>
      </c>
      <c r="B15" s="261" t="s">
        <v>126</v>
      </c>
      <c r="C15" s="262"/>
      <c r="D15" s="245"/>
      <c r="E15" s="245"/>
      <c r="F15" s="262"/>
      <c r="G15" s="246">
        <f>G16</f>
        <v>210000</v>
      </c>
      <c r="H15" s="246">
        <f t="shared" ref="H15:W15" si="5">H16</f>
        <v>0</v>
      </c>
      <c r="I15" s="246">
        <f t="shared" si="5"/>
        <v>83500</v>
      </c>
      <c r="J15" s="246">
        <f t="shared" si="5"/>
        <v>126500</v>
      </c>
      <c r="K15" s="246">
        <f t="shared" si="5"/>
        <v>0</v>
      </c>
      <c r="L15" s="246">
        <f t="shared" si="5"/>
        <v>17000</v>
      </c>
      <c r="M15" s="246"/>
      <c r="N15" s="246">
        <f t="shared" si="5"/>
        <v>0</v>
      </c>
      <c r="O15" s="246">
        <f t="shared" si="5"/>
        <v>17000</v>
      </c>
      <c r="P15" s="246">
        <f t="shared" si="5"/>
        <v>0</v>
      </c>
      <c r="Q15" s="246">
        <f t="shared" si="5"/>
        <v>18000</v>
      </c>
      <c r="R15" s="246">
        <f t="shared" si="5"/>
        <v>5000</v>
      </c>
      <c r="S15" s="246">
        <f t="shared" si="5"/>
        <v>0</v>
      </c>
      <c r="T15" s="246">
        <f t="shared" si="5"/>
        <v>13000</v>
      </c>
      <c r="U15" s="246">
        <f t="shared" si="5"/>
        <v>0</v>
      </c>
      <c r="V15" s="246">
        <f t="shared" si="5"/>
        <v>0</v>
      </c>
      <c r="W15" s="246">
        <f t="shared" si="5"/>
        <v>0</v>
      </c>
      <c r="X15" s="245"/>
      <c r="Y15" s="247">
        <f t="shared" si="2"/>
        <v>17000</v>
      </c>
      <c r="Z15" s="247">
        <f t="shared" ref="Z15:Z20" si="6">L15-Y15</f>
        <v>0</v>
      </c>
    </row>
    <row r="16" spans="1:26" s="265" customFormat="1" ht="32.450000000000003" customHeight="1">
      <c r="A16" s="249">
        <v>1</v>
      </c>
      <c r="B16" s="252" t="s">
        <v>389</v>
      </c>
      <c r="C16" s="263"/>
      <c r="D16" s="252"/>
      <c r="E16" s="252"/>
      <c r="F16" s="263"/>
      <c r="G16" s="264">
        <f>SUM(G17:G20)</f>
        <v>210000</v>
      </c>
      <c r="H16" s="264">
        <f t="shared" ref="H16:W16" si="7">SUM(H17:H20)</f>
        <v>0</v>
      </c>
      <c r="I16" s="264">
        <f t="shared" si="7"/>
        <v>83500</v>
      </c>
      <c r="J16" s="264">
        <f t="shared" si="7"/>
        <v>126500</v>
      </c>
      <c r="K16" s="264">
        <f t="shared" si="7"/>
        <v>0</v>
      </c>
      <c r="L16" s="264">
        <f t="shared" si="7"/>
        <v>17000</v>
      </c>
      <c r="M16" s="264"/>
      <c r="N16" s="264">
        <f t="shared" si="7"/>
        <v>0</v>
      </c>
      <c r="O16" s="264">
        <f t="shared" si="7"/>
        <v>17000</v>
      </c>
      <c r="P16" s="264">
        <f t="shared" si="7"/>
        <v>0</v>
      </c>
      <c r="Q16" s="264">
        <f t="shared" si="7"/>
        <v>18000</v>
      </c>
      <c r="R16" s="264">
        <f t="shared" si="7"/>
        <v>5000</v>
      </c>
      <c r="S16" s="264">
        <f t="shared" si="7"/>
        <v>0</v>
      </c>
      <c r="T16" s="264">
        <f t="shared" si="7"/>
        <v>13000</v>
      </c>
      <c r="U16" s="264">
        <f t="shared" si="7"/>
        <v>0</v>
      </c>
      <c r="V16" s="264">
        <f t="shared" si="7"/>
        <v>0</v>
      </c>
      <c r="W16" s="264">
        <f t="shared" si="7"/>
        <v>0</v>
      </c>
      <c r="X16" s="252"/>
      <c r="Y16" s="232">
        <f t="shared" si="2"/>
        <v>17000</v>
      </c>
      <c r="Z16" s="232">
        <f t="shared" si="6"/>
        <v>0</v>
      </c>
    </row>
    <row r="17" spans="1:26" ht="69.599999999999994" customHeight="1">
      <c r="A17" s="266"/>
      <c r="B17" s="255" t="s">
        <v>498</v>
      </c>
      <c r="C17" s="238" t="s">
        <v>137</v>
      </c>
      <c r="D17" s="239"/>
      <c r="E17" s="239"/>
      <c r="F17" s="256" t="s">
        <v>434</v>
      </c>
      <c r="G17" s="257">
        <v>30000</v>
      </c>
      <c r="H17" s="181"/>
      <c r="I17" s="197"/>
      <c r="J17" s="197">
        <v>30000</v>
      </c>
      <c r="K17" s="267"/>
      <c r="L17" s="181">
        <f>SUM(M17:P17)</f>
        <v>17000</v>
      </c>
      <c r="M17" s="181"/>
      <c r="N17" s="181"/>
      <c r="O17" s="258">
        <v>17000</v>
      </c>
      <c r="P17" s="181"/>
      <c r="Q17" s="181">
        <f>SUM(R17:W17)</f>
        <v>13000</v>
      </c>
      <c r="R17" s="181">
        <v>5000</v>
      </c>
      <c r="S17" s="181"/>
      <c r="T17" s="181">
        <v>8000</v>
      </c>
      <c r="U17" s="181"/>
      <c r="V17" s="181"/>
      <c r="W17" s="181"/>
      <c r="X17" s="238" t="s">
        <v>389</v>
      </c>
      <c r="Y17" s="232">
        <f t="shared" si="2"/>
        <v>17000</v>
      </c>
      <c r="Z17" s="232">
        <f t="shared" si="6"/>
        <v>0</v>
      </c>
    </row>
    <row r="18" spans="1:26" ht="72" customHeight="1">
      <c r="A18" s="266"/>
      <c r="B18" s="255" t="s">
        <v>499</v>
      </c>
      <c r="C18" s="238" t="s">
        <v>158</v>
      </c>
      <c r="D18" s="239"/>
      <c r="E18" s="239"/>
      <c r="F18" s="256" t="s">
        <v>502</v>
      </c>
      <c r="G18" s="257">
        <v>110000</v>
      </c>
      <c r="H18" s="197"/>
      <c r="I18" s="197">
        <v>83500</v>
      </c>
      <c r="J18" s="197">
        <v>26500</v>
      </c>
      <c r="K18" s="267"/>
      <c r="L18" s="181">
        <f t="shared" ref="L18:L20" si="8">SUM(M18:P18)</f>
        <v>0</v>
      </c>
      <c r="M18" s="197"/>
      <c r="N18" s="197"/>
      <c r="O18" s="197"/>
      <c r="P18" s="197"/>
      <c r="Q18" s="181">
        <f t="shared" ref="Q18:Q20" si="9">SUM(R18:W18)</f>
        <v>5000</v>
      </c>
      <c r="R18" s="181"/>
      <c r="S18" s="181"/>
      <c r="T18" s="181">
        <v>5000</v>
      </c>
      <c r="U18" s="181"/>
      <c r="V18" s="181"/>
      <c r="W18" s="181"/>
      <c r="X18" s="238" t="s">
        <v>389</v>
      </c>
      <c r="Y18" s="232">
        <f t="shared" si="2"/>
        <v>0</v>
      </c>
      <c r="Z18" s="232">
        <f t="shared" si="6"/>
        <v>0</v>
      </c>
    </row>
    <row r="19" spans="1:26" ht="63">
      <c r="A19" s="266"/>
      <c r="B19" s="255" t="s">
        <v>500</v>
      </c>
      <c r="C19" s="238" t="s">
        <v>157</v>
      </c>
      <c r="D19" s="239"/>
      <c r="E19" s="239"/>
      <c r="F19" s="256" t="s">
        <v>503</v>
      </c>
      <c r="G19" s="257">
        <v>55000</v>
      </c>
      <c r="H19" s="197"/>
      <c r="I19" s="197"/>
      <c r="J19" s="197">
        <v>55000</v>
      </c>
      <c r="K19" s="267"/>
      <c r="L19" s="181">
        <f t="shared" si="8"/>
        <v>0</v>
      </c>
      <c r="M19" s="197"/>
      <c r="N19" s="197"/>
      <c r="O19" s="197"/>
      <c r="P19" s="197"/>
      <c r="Q19" s="181">
        <f t="shared" si="9"/>
        <v>0</v>
      </c>
      <c r="R19" s="181"/>
      <c r="S19" s="181"/>
      <c r="T19" s="181"/>
      <c r="U19" s="181"/>
      <c r="V19" s="181"/>
      <c r="W19" s="181"/>
      <c r="X19" s="238" t="s">
        <v>389</v>
      </c>
      <c r="Y19" s="232">
        <f t="shared" si="2"/>
        <v>0</v>
      </c>
      <c r="Z19" s="232">
        <f t="shared" si="6"/>
        <v>0</v>
      </c>
    </row>
    <row r="20" spans="1:26" ht="63.6" customHeight="1">
      <c r="A20" s="266"/>
      <c r="B20" s="255" t="s">
        <v>501</v>
      </c>
      <c r="C20" s="238" t="s">
        <v>155</v>
      </c>
      <c r="D20" s="239"/>
      <c r="E20" s="239"/>
      <c r="F20" s="256" t="s">
        <v>504</v>
      </c>
      <c r="G20" s="257">
        <v>15000</v>
      </c>
      <c r="H20" s="197"/>
      <c r="I20" s="197"/>
      <c r="J20" s="197">
        <v>15000</v>
      </c>
      <c r="K20" s="267"/>
      <c r="L20" s="181">
        <f t="shared" si="8"/>
        <v>0</v>
      </c>
      <c r="M20" s="197"/>
      <c r="N20" s="197"/>
      <c r="O20" s="197">
        <v>0</v>
      </c>
      <c r="P20" s="197"/>
      <c r="Q20" s="181">
        <f t="shared" si="9"/>
        <v>0</v>
      </c>
      <c r="R20" s="181"/>
      <c r="S20" s="181"/>
      <c r="T20" s="181"/>
      <c r="U20" s="181"/>
      <c r="V20" s="181"/>
      <c r="W20" s="181"/>
      <c r="X20" s="238" t="s">
        <v>389</v>
      </c>
      <c r="Y20" s="232">
        <f t="shared" si="2"/>
        <v>0</v>
      </c>
      <c r="Z20" s="232">
        <f t="shared" si="6"/>
        <v>0</v>
      </c>
    </row>
    <row r="21" spans="1:26" s="248" customFormat="1" ht="41.45" customHeight="1">
      <c r="A21" s="268" t="s">
        <v>22</v>
      </c>
      <c r="B21" s="269" t="s">
        <v>549</v>
      </c>
      <c r="C21" s="244"/>
      <c r="D21" s="245"/>
      <c r="E21" s="245"/>
      <c r="F21" s="270"/>
      <c r="G21" s="271">
        <f>G22+G35</f>
        <v>482260</v>
      </c>
      <c r="H21" s="271">
        <f t="shared" ref="H21:W21" si="10">H22+H35</f>
        <v>0</v>
      </c>
      <c r="I21" s="271">
        <f t="shared" si="10"/>
        <v>324117</v>
      </c>
      <c r="J21" s="271">
        <f t="shared" si="10"/>
        <v>96238.989999999991</v>
      </c>
      <c r="K21" s="271">
        <f t="shared" si="10"/>
        <v>64782.01</v>
      </c>
      <c r="L21" s="271">
        <f t="shared" si="10"/>
        <v>280885</v>
      </c>
      <c r="M21" s="271">
        <f t="shared" si="10"/>
        <v>0</v>
      </c>
      <c r="N21" s="271">
        <f t="shared" si="10"/>
        <v>199563</v>
      </c>
      <c r="O21" s="271">
        <f t="shared" si="10"/>
        <v>70237</v>
      </c>
      <c r="P21" s="271">
        <f t="shared" si="10"/>
        <v>11085</v>
      </c>
      <c r="Q21" s="271">
        <f t="shared" si="10"/>
        <v>120509</v>
      </c>
      <c r="R21" s="271">
        <f t="shared" si="10"/>
        <v>25777</v>
      </c>
      <c r="S21" s="271">
        <f t="shared" si="10"/>
        <v>0</v>
      </c>
      <c r="T21" s="271">
        <f t="shared" si="10"/>
        <v>0</v>
      </c>
      <c r="U21" s="271">
        <f t="shared" si="10"/>
        <v>94732</v>
      </c>
      <c r="V21" s="271">
        <f t="shared" si="10"/>
        <v>0</v>
      </c>
      <c r="W21" s="271">
        <f t="shared" si="10"/>
        <v>0</v>
      </c>
      <c r="X21" s="244"/>
      <c r="Y21" s="272"/>
      <c r="Z21" s="272"/>
    </row>
    <row r="22" spans="1:26" s="265" customFormat="1" ht="39" customHeight="1">
      <c r="A22" s="273" t="s">
        <v>97</v>
      </c>
      <c r="B22" s="274" t="s">
        <v>550</v>
      </c>
      <c r="C22" s="251"/>
      <c r="D22" s="252"/>
      <c r="E22" s="252"/>
      <c r="F22" s="275"/>
      <c r="G22" s="276">
        <f>SUM(G23:G34)</f>
        <v>99300</v>
      </c>
      <c r="H22" s="276">
        <f t="shared" ref="H22:W22" si="11">SUM(H23:H34)</f>
        <v>0</v>
      </c>
      <c r="I22" s="276">
        <f t="shared" si="11"/>
        <v>0</v>
      </c>
      <c r="J22" s="276">
        <f t="shared" si="11"/>
        <v>59930</v>
      </c>
      <c r="K22" s="276">
        <f t="shared" si="11"/>
        <v>39370</v>
      </c>
      <c r="L22" s="276">
        <f>SUM(L23:L34)</f>
        <v>41057</v>
      </c>
      <c r="M22" s="276">
        <f t="shared" si="11"/>
        <v>0</v>
      </c>
      <c r="N22" s="276">
        <f t="shared" si="11"/>
        <v>0</v>
      </c>
      <c r="O22" s="276">
        <f t="shared" si="11"/>
        <v>36107</v>
      </c>
      <c r="P22" s="276">
        <f t="shared" si="11"/>
        <v>4950</v>
      </c>
      <c r="Q22" s="276">
        <f t="shared" si="11"/>
        <v>23823</v>
      </c>
      <c r="R22" s="276">
        <f>SUM(R23:R34)</f>
        <v>23823</v>
      </c>
      <c r="S22" s="276">
        <f t="shared" si="11"/>
        <v>0</v>
      </c>
      <c r="T22" s="276">
        <f t="shared" si="11"/>
        <v>0</v>
      </c>
      <c r="U22" s="276">
        <f t="shared" si="11"/>
        <v>0</v>
      </c>
      <c r="V22" s="276">
        <f t="shared" si="11"/>
        <v>0</v>
      </c>
      <c r="W22" s="276">
        <f t="shared" si="11"/>
        <v>0</v>
      </c>
      <c r="X22" s="251"/>
      <c r="Y22" s="277"/>
      <c r="Z22" s="277"/>
    </row>
    <row r="23" spans="1:26" ht="39" customHeight="1">
      <c r="A23" s="266"/>
      <c r="B23" s="255" t="s">
        <v>551</v>
      </c>
      <c r="C23" s="238" t="s">
        <v>159</v>
      </c>
      <c r="D23" s="239"/>
      <c r="E23" s="239"/>
      <c r="F23" s="256" t="s">
        <v>552</v>
      </c>
      <c r="G23" s="257">
        <v>6600</v>
      </c>
      <c r="H23" s="197"/>
      <c r="I23" s="197"/>
      <c r="J23" s="197">
        <v>4290</v>
      </c>
      <c r="K23" s="267">
        <v>2310</v>
      </c>
      <c r="L23" s="197">
        <v>3400</v>
      </c>
      <c r="M23" s="197"/>
      <c r="N23" s="197"/>
      <c r="O23" s="197">
        <v>2500</v>
      </c>
      <c r="P23" s="197">
        <v>900</v>
      </c>
      <c r="Q23" s="181">
        <f>SUM(R23:W23)</f>
        <v>1790</v>
      </c>
      <c r="R23" s="181">
        <v>1790</v>
      </c>
      <c r="S23" s="181"/>
      <c r="T23" s="181"/>
      <c r="U23" s="181"/>
      <c r="V23" s="181"/>
      <c r="W23" s="181"/>
      <c r="X23" s="260" t="s">
        <v>550</v>
      </c>
      <c r="Y23" s="232"/>
      <c r="Z23" s="232"/>
    </row>
    <row r="24" spans="1:26" ht="39" customHeight="1">
      <c r="A24" s="266"/>
      <c r="B24" s="278" t="s">
        <v>553</v>
      </c>
      <c r="C24" s="238" t="s">
        <v>159</v>
      </c>
      <c r="D24" s="239"/>
      <c r="E24" s="239"/>
      <c r="F24" s="260" t="s">
        <v>554</v>
      </c>
      <c r="G24" s="257">
        <v>3400</v>
      </c>
      <c r="H24" s="197"/>
      <c r="I24" s="197"/>
      <c r="J24" s="197">
        <v>2210</v>
      </c>
      <c r="K24" s="267">
        <v>1190</v>
      </c>
      <c r="L24" s="197">
        <v>1950</v>
      </c>
      <c r="M24" s="197"/>
      <c r="N24" s="197"/>
      <c r="O24" s="197">
        <v>1500</v>
      </c>
      <c r="P24" s="197">
        <v>450</v>
      </c>
      <c r="Q24" s="181">
        <f t="shared" ref="Q24:Q34" si="12">SUM(R24:W24)</f>
        <v>710</v>
      </c>
      <c r="R24" s="181">
        <v>710</v>
      </c>
      <c r="S24" s="181"/>
      <c r="T24" s="181"/>
      <c r="U24" s="181"/>
      <c r="V24" s="181"/>
      <c r="W24" s="181"/>
      <c r="X24" s="260" t="s">
        <v>550</v>
      </c>
      <c r="Y24" s="232"/>
      <c r="Z24" s="232"/>
    </row>
    <row r="25" spans="1:26" ht="39" customHeight="1">
      <c r="A25" s="266"/>
      <c r="B25" s="255" t="s">
        <v>555</v>
      </c>
      <c r="C25" s="238" t="s">
        <v>159</v>
      </c>
      <c r="D25" s="239"/>
      <c r="E25" s="239"/>
      <c r="F25" s="256" t="s">
        <v>556</v>
      </c>
      <c r="G25" s="257">
        <v>8000</v>
      </c>
      <c r="H25" s="197"/>
      <c r="I25" s="197"/>
      <c r="J25" s="197">
        <v>5200</v>
      </c>
      <c r="K25" s="267">
        <v>2800</v>
      </c>
      <c r="L25" s="197">
        <v>3000</v>
      </c>
      <c r="M25" s="197"/>
      <c r="N25" s="197"/>
      <c r="O25" s="197">
        <v>3000</v>
      </c>
      <c r="P25" s="197"/>
      <c r="Q25" s="181">
        <f t="shared" si="12"/>
        <v>2200</v>
      </c>
      <c r="R25" s="181">
        <v>2200</v>
      </c>
      <c r="S25" s="181"/>
      <c r="T25" s="181"/>
      <c r="U25" s="181"/>
      <c r="V25" s="181"/>
      <c r="W25" s="181"/>
      <c r="X25" s="260" t="s">
        <v>550</v>
      </c>
      <c r="Y25" s="232"/>
      <c r="Z25" s="232"/>
    </row>
    <row r="26" spans="1:26" ht="39" customHeight="1">
      <c r="A26" s="266"/>
      <c r="B26" s="255" t="s">
        <v>557</v>
      </c>
      <c r="C26" s="238" t="s">
        <v>159</v>
      </c>
      <c r="D26" s="239"/>
      <c r="E26" s="239"/>
      <c r="F26" s="256" t="s">
        <v>558</v>
      </c>
      <c r="G26" s="257">
        <v>13000</v>
      </c>
      <c r="H26" s="197"/>
      <c r="I26" s="197"/>
      <c r="J26" s="197">
        <v>6825</v>
      </c>
      <c r="K26" s="267">
        <v>6175</v>
      </c>
      <c r="L26" s="197">
        <v>5193</v>
      </c>
      <c r="M26" s="197"/>
      <c r="N26" s="197"/>
      <c r="O26" s="197">
        <v>5193</v>
      </c>
      <c r="P26" s="197"/>
      <c r="Q26" s="181">
        <f t="shared" si="12"/>
        <v>1632</v>
      </c>
      <c r="R26" s="181">
        <v>1632</v>
      </c>
      <c r="S26" s="181"/>
      <c r="T26" s="181"/>
      <c r="U26" s="181"/>
      <c r="V26" s="181"/>
      <c r="W26" s="181"/>
      <c r="X26" s="260" t="s">
        <v>550</v>
      </c>
      <c r="Y26" s="232"/>
      <c r="Z26" s="232"/>
    </row>
    <row r="27" spans="1:26" ht="39" customHeight="1">
      <c r="A27" s="266"/>
      <c r="B27" s="255" t="s">
        <v>559</v>
      </c>
      <c r="C27" s="238" t="s">
        <v>159</v>
      </c>
      <c r="D27" s="239"/>
      <c r="E27" s="239"/>
      <c r="F27" s="256" t="s">
        <v>560</v>
      </c>
      <c r="G27" s="257">
        <v>6700</v>
      </c>
      <c r="H27" s="197"/>
      <c r="I27" s="197"/>
      <c r="J27" s="197">
        <v>3380</v>
      </c>
      <c r="K27" s="267">
        <v>3320</v>
      </c>
      <c r="L27" s="197">
        <v>2000</v>
      </c>
      <c r="M27" s="197"/>
      <c r="N27" s="197"/>
      <c r="O27" s="197">
        <v>2000</v>
      </c>
      <c r="P27" s="197"/>
      <c r="Q27" s="181">
        <f t="shared" si="12"/>
        <v>1380</v>
      </c>
      <c r="R27" s="181">
        <v>1380</v>
      </c>
      <c r="S27" s="181"/>
      <c r="T27" s="181"/>
      <c r="U27" s="181"/>
      <c r="V27" s="181"/>
      <c r="W27" s="181"/>
      <c r="X27" s="260" t="s">
        <v>550</v>
      </c>
      <c r="Y27" s="232"/>
      <c r="Z27" s="232"/>
    </row>
    <row r="28" spans="1:26" ht="39" customHeight="1">
      <c r="A28" s="266"/>
      <c r="B28" s="255" t="s">
        <v>561</v>
      </c>
      <c r="C28" s="238" t="s">
        <v>159</v>
      </c>
      <c r="D28" s="239"/>
      <c r="E28" s="239"/>
      <c r="F28" s="256" t="s">
        <v>562</v>
      </c>
      <c r="G28" s="257">
        <v>11500</v>
      </c>
      <c r="H28" s="197"/>
      <c r="I28" s="197"/>
      <c r="J28" s="197">
        <v>6825</v>
      </c>
      <c r="K28" s="267">
        <v>4675</v>
      </c>
      <c r="L28" s="197">
        <v>5600</v>
      </c>
      <c r="M28" s="197"/>
      <c r="N28" s="197"/>
      <c r="O28" s="197">
        <v>4500</v>
      </c>
      <c r="P28" s="197">
        <v>1100</v>
      </c>
      <c r="Q28" s="181">
        <f t="shared" si="12"/>
        <v>2325</v>
      </c>
      <c r="R28" s="181">
        <v>2325</v>
      </c>
      <c r="S28" s="181"/>
      <c r="T28" s="181"/>
      <c r="U28" s="181"/>
      <c r="V28" s="181"/>
      <c r="W28" s="181"/>
      <c r="X28" s="260" t="s">
        <v>550</v>
      </c>
      <c r="Y28" s="232"/>
      <c r="Z28" s="232"/>
    </row>
    <row r="29" spans="1:26" ht="39" customHeight="1">
      <c r="A29" s="266"/>
      <c r="B29" s="255" t="s">
        <v>563</v>
      </c>
      <c r="C29" s="238" t="s">
        <v>159</v>
      </c>
      <c r="D29" s="239"/>
      <c r="E29" s="239"/>
      <c r="F29" s="256" t="s">
        <v>564</v>
      </c>
      <c r="G29" s="257">
        <v>4300</v>
      </c>
      <c r="H29" s="197"/>
      <c r="I29" s="197"/>
      <c r="J29" s="197">
        <v>2795</v>
      </c>
      <c r="K29" s="267">
        <v>1505</v>
      </c>
      <c r="L29" s="197">
        <v>2600</v>
      </c>
      <c r="M29" s="197"/>
      <c r="N29" s="197"/>
      <c r="O29" s="197">
        <v>1500</v>
      </c>
      <c r="P29" s="197">
        <v>1100</v>
      </c>
      <c r="Q29" s="181">
        <f t="shared" si="12"/>
        <v>1295</v>
      </c>
      <c r="R29" s="181">
        <v>1295</v>
      </c>
      <c r="S29" s="181"/>
      <c r="T29" s="181"/>
      <c r="U29" s="181"/>
      <c r="V29" s="181"/>
      <c r="W29" s="181"/>
      <c r="X29" s="260" t="s">
        <v>550</v>
      </c>
      <c r="Y29" s="232"/>
      <c r="Z29" s="232"/>
    </row>
    <row r="30" spans="1:26" ht="39" customHeight="1">
      <c r="A30" s="266"/>
      <c r="B30" s="255" t="s">
        <v>565</v>
      </c>
      <c r="C30" s="238" t="s">
        <v>159</v>
      </c>
      <c r="D30" s="239"/>
      <c r="E30" s="239"/>
      <c r="F30" s="256" t="s">
        <v>566</v>
      </c>
      <c r="G30" s="257">
        <v>9700</v>
      </c>
      <c r="H30" s="197"/>
      <c r="I30" s="197"/>
      <c r="J30" s="197">
        <v>6175</v>
      </c>
      <c r="K30" s="267">
        <v>3525</v>
      </c>
      <c r="L30" s="197">
        <v>4239</v>
      </c>
      <c r="M30" s="197"/>
      <c r="N30" s="197"/>
      <c r="O30" s="197">
        <v>4239</v>
      </c>
      <c r="P30" s="197"/>
      <c r="Q30" s="181">
        <f t="shared" si="12"/>
        <v>1936</v>
      </c>
      <c r="R30" s="181">
        <v>1936</v>
      </c>
      <c r="S30" s="181"/>
      <c r="T30" s="181"/>
      <c r="U30" s="181"/>
      <c r="V30" s="181"/>
      <c r="W30" s="181"/>
      <c r="X30" s="260" t="s">
        <v>550</v>
      </c>
      <c r="Y30" s="232"/>
      <c r="Z30" s="232"/>
    </row>
    <row r="31" spans="1:26" ht="43.9" customHeight="1">
      <c r="A31" s="266"/>
      <c r="B31" s="255" t="s">
        <v>567</v>
      </c>
      <c r="C31" s="238" t="s">
        <v>159</v>
      </c>
      <c r="D31" s="239"/>
      <c r="E31" s="239"/>
      <c r="F31" s="256" t="s">
        <v>568</v>
      </c>
      <c r="G31" s="257">
        <v>10500</v>
      </c>
      <c r="H31" s="197"/>
      <c r="I31" s="197"/>
      <c r="J31" s="197">
        <v>6825</v>
      </c>
      <c r="K31" s="267">
        <v>3675</v>
      </c>
      <c r="L31" s="197">
        <v>4025</v>
      </c>
      <c r="M31" s="197"/>
      <c r="N31" s="197"/>
      <c r="O31" s="197">
        <v>4025</v>
      </c>
      <c r="P31" s="197"/>
      <c r="Q31" s="181">
        <f t="shared" si="12"/>
        <v>2800</v>
      </c>
      <c r="R31" s="181">
        <v>2800</v>
      </c>
      <c r="S31" s="181"/>
      <c r="T31" s="181"/>
      <c r="U31" s="181"/>
      <c r="V31" s="181"/>
      <c r="W31" s="181"/>
      <c r="X31" s="260" t="s">
        <v>550</v>
      </c>
      <c r="Y31" s="232"/>
      <c r="Z31" s="232"/>
    </row>
    <row r="32" spans="1:26" ht="67.150000000000006" customHeight="1">
      <c r="A32" s="266"/>
      <c r="B32" s="255" t="s">
        <v>569</v>
      </c>
      <c r="C32" s="238" t="s">
        <v>159</v>
      </c>
      <c r="D32" s="239"/>
      <c r="E32" s="239"/>
      <c r="F32" s="256" t="s">
        <v>570</v>
      </c>
      <c r="G32" s="257">
        <v>8000</v>
      </c>
      <c r="H32" s="197"/>
      <c r="I32" s="197"/>
      <c r="J32" s="197">
        <v>4290</v>
      </c>
      <c r="K32" s="267">
        <v>3710</v>
      </c>
      <c r="L32" s="197">
        <v>4050</v>
      </c>
      <c r="M32" s="197"/>
      <c r="N32" s="197"/>
      <c r="O32" s="197">
        <v>2650</v>
      </c>
      <c r="P32" s="197">
        <v>1400</v>
      </c>
      <c r="Q32" s="181">
        <f t="shared" si="12"/>
        <v>1640</v>
      </c>
      <c r="R32" s="181">
        <v>1640</v>
      </c>
      <c r="S32" s="181"/>
      <c r="T32" s="181"/>
      <c r="U32" s="181"/>
      <c r="V32" s="181"/>
      <c r="W32" s="181"/>
      <c r="X32" s="260" t="s">
        <v>550</v>
      </c>
      <c r="Y32" s="232"/>
      <c r="Z32" s="232"/>
    </row>
    <row r="33" spans="1:26" ht="67.150000000000006" customHeight="1">
      <c r="A33" s="266"/>
      <c r="B33" s="255" t="s">
        <v>571</v>
      </c>
      <c r="C33" s="238" t="s">
        <v>159</v>
      </c>
      <c r="D33" s="239"/>
      <c r="E33" s="239"/>
      <c r="F33" s="256" t="s">
        <v>572</v>
      </c>
      <c r="G33" s="257">
        <v>11000</v>
      </c>
      <c r="H33" s="197"/>
      <c r="I33" s="197"/>
      <c r="J33" s="197">
        <v>6825</v>
      </c>
      <c r="K33" s="267">
        <v>4175</v>
      </c>
      <c r="L33" s="197">
        <v>3000</v>
      </c>
      <c r="M33" s="197"/>
      <c r="N33" s="197"/>
      <c r="O33" s="197">
        <v>3000</v>
      </c>
      <c r="P33" s="197"/>
      <c r="Q33" s="181">
        <f t="shared" si="12"/>
        <v>3825</v>
      </c>
      <c r="R33" s="181">
        <v>3825</v>
      </c>
      <c r="S33" s="181"/>
      <c r="T33" s="181"/>
      <c r="U33" s="181"/>
      <c r="V33" s="181"/>
      <c r="W33" s="181"/>
      <c r="X33" s="260" t="s">
        <v>550</v>
      </c>
      <c r="Y33" s="232"/>
      <c r="Z33" s="232"/>
    </row>
    <row r="34" spans="1:26" ht="41.45" customHeight="1">
      <c r="A34" s="266"/>
      <c r="B34" s="255" t="s">
        <v>573</v>
      </c>
      <c r="C34" s="238" t="s">
        <v>159</v>
      </c>
      <c r="D34" s="239"/>
      <c r="E34" s="239"/>
      <c r="F34" s="256" t="s">
        <v>574</v>
      </c>
      <c r="G34" s="257">
        <v>6600</v>
      </c>
      <c r="H34" s="197"/>
      <c r="I34" s="197"/>
      <c r="J34" s="197">
        <v>4290</v>
      </c>
      <c r="K34" s="267">
        <v>2310</v>
      </c>
      <c r="L34" s="197">
        <v>2000</v>
      </c>
      <c r="M34" s="197"/>
      <c r="N34" s="197"/>
      <c r="O34" s="197">
        <v>2000</v>
      </c>
      <c r="P34" s="197"/>
      <c r="Q34" s="181">
        <f t="shared" si="12"/>
        <v>2290</v>
      </c>
      <c r="R34" s="181">
        <v>2290</v>
      </c>
      <c r="S34" s="181"/>
      <c r="T34" s="181"/>
      <c r="U34" s="181"/>
      <c r="V34" s="181"/>
      <c r="W34" s="181"/>
      <c r="X34" s="260" t="s">
        <v>550</v>
      </c>
      <c r="Y34" s="232"/>
      <c r="Z34" s="232"/>
    </row>
    <row r="35" spans="1:26" s="265" customFormat="1" ht="41.45" customHeight="1">
      <c r="A35" s="273"/>
      <c r="B35" s="279" t="s">
        <v>575</v>
      </c>
      <c r="C35" s="251"/>
      <c r="D35" s="252"/>
      <c r="E35" s="252"/>
      <c r="F35" s="275"/>
      <c r="G35" s="253">
        <f>G36+G43</f>
        <v>382960</v>
      </c>
      <c r="H35" s="253">
        <f t="shared" ref="H35:W35" si="13">H36+H43</f>
        <v>0</v>
      </c>
      <c r="I35" s="253">
        <f t="shared" si="13"/>
        <v>324117</v>
      </c>
      <c r="J35" s="253">
        <f t="shared" si="13"/>
        <v>36308.99</v>
      </c>
      <c r="K35" s="253">
        <f t="shared" si="13"/>
        <v>25412.010000000002</v>
      </c>
      <c r="L35" s="253">
        <f t="shared" si="13"/>
        <v>239828</v>
      </c>
      <c r="M35" s="253">
        <f t="shared" si="13"/>
        <v>0</v>
      </c>
      <c r="N35" s="253">
        <f>N36+N43</f>
        <v>199563</v>
      </c>
      <c r="O35" s="253">
        <f t="shared" si="13"/>
        <v>34130</v>
      </c>
      <c r="P35" s="253">
        <f t="shared" si="13"/>
        <v>6135</v>
      </c>
      <c r="Q35" s="253">
        <f t="shared" si="13"/>
        <v>96686</v>
      </c>
      <c r="R35" s="253">
        <f t="shared" si="13"/>
        <v>1954</v>
      </c>
      <c r="S35" s="253">
        <f t="shared" si="13"/>
        <v>0</v>
      </c>
      <c r="T35" s="253">
        <f t="shared" si="13"/>
        <v>0</v>
      </c>
      <c r="U35" s="253">
        <f t="shared" si="13"/>
        <v>94732</v>
      </c>
      <c r="V35" s="253">
        <f t="shared" si="13"/>
        <v>0</v>
      </c>
      <c r="W35" s="253">
        <f t="shared" si="13"/>
        <v>0</v>
      </c>
      <c r="X35" s="274"/>
      <c r="Y35" s="277"/>
      <c r="Z35" s="277"/>
    </row>
    <row r="36" spans="1:26" s="265" customFormat="1" ht="51.6" customHeight="1">
      <c r="A36" s="273">
        <v>1</v>
      </c>
      <c r="B36" s="199" t="s">
        <v>512</v>
      </c>
      <c r="C36" s="251"/>
      <c r="D36" s="252"/>
      <c r="E36" s="252"/>
      <c r="F36" s="275"/>
      <c r="G36" s="253">
        <f>SUM(G38:G42)</f>
        <v>182892</v>
      </c>
      <c r="H36" s="253">
        <f t="shared" ref="H36:W36" si="14">SUM(H38:H42)</f>
        <v>0</v>
      </c>
      <c r="I36" s="253">
        <f t="shared" si="14"/>
        <v>151891</v>
      </c>
      <c r="J36" s="253">
        <f t="shared" si="14"/>
        <v>9525.99</v>
      </c>
      <c r="K36" s="253">
        <f t="shared" si="14"/>
        <v>24353.010000000002</v>
      </c>
      <c r="L36" s="253">
        <f t="shared" si="14"/>
        <v>105628</v>
      </c>
      <c r="M36" s="253">
        <f t="shared" si="14"/>
        <v>0</v>
      </c>
      <c r="N36" s="253">
        <f t="shared" si="14"/>
        <v>90592</v>
      </c>
      <c r="O36" s="253">
        <f t="shared" si="14"/>
        <v>8901</v>
      </c>
      <c r="P36" s="253">
        <f t="shared" si="14"/>
        <v>6135</v>
      </c>
      <c r="Q36" s="253">
        <f t="shared" si="14"/>
        <v>46450</v>
      </c>
      <c r="R36" s="253">
        <f t="shared" si="14"/>
        <v>400</v>
      </c>
      <c r="S36" s="253">
        <f t="shared" si="14"/>
        <v>0</v>
      </c>
      <c r="T36" s="253">
        <f t="shared" si="14"/>
        <v>0</v>
      </c>
      <c r="U36" s="253">
        <f t="shared" si="14"/>
        <v>46050</v>
      </c>
      <c r="V36" s="253">
        <f t="shared" si="14"/>
        <v>0</v>
      </c>
      <c r="W36" s="253">
        <f t="shared" si="14"/>
        <v>0</v>
      </c>
      <c r="X36" s="274"/>
      <c r="Y36" s="277"/>
      <c r="Z36" s="277"/>
    </row>
    <row r="37" spans="1:26" s="281" customFormat="1" ht="51.6" customHeight="1">
      <c r="A37" s="266"/>
      <c r="B37" s="203" t="s">
        <v>576</v>
      </c>
      <c r="C37" s="238"/>
      <c r="D37" s="238"/>
      <c r="E37" s="238"/>
      <c r="F37" s="238"/>
      <c r="G37" s="280"/>
      <c r="H37" s="280"/>
      <c r="I37" s="280"/>
      <c r="J37" s="280"/>
      <c r="K37" s="280"/>
      <c r="L37" s="280"/>
      <c r="M37" s="280"/>
      <c r="N37" s="280"/>
      <c r="O37" s="280"/>
      <c r="P37" s="280"/>
      <c r="Q37" s="280"/>
      <c r="R37" s="280"/>
      <c r="S37" s="280"/>
      <c r="T37" s="280"/>
      <c r="U37" s="280"/>
      <c r="V37" s="280"/>
      <c r="W37" s="280"/>
      <c r="X37" s="280"/>
      <c r="Y37" s="232"/>
      <c r="Z37" s="232"/>
    </row>
    <row r="38" spans="1:26" s="290" customFormat="1" ht="41.45" customHeight="1">
      <c r="A38" s="282"/>
      <c r="B38" s="283" t="s">
        <v>145</v>
      </c>
      <c r="C38" s="284"/>
      <c r="D38" s="285"/>
      <c r="E38" s="285"/>
      <c r="F38" s="286"/>
      <c r="G38" s="287">
        <v>52333</v>
      </c>
      <c r="H38" s="287"/>
      <c r="I38" s="287">
        <v>32927</v>
      </c>
      <c r="J38" s="287">
        <v>5540.99</v>
      </c>
      <c r="K38" s="287">
        <v>16743.010000000002</v>
      </c>
      <c r="L38" s="287">
        <f>SUM(M38:P38)</f>
        <v>23818</v>
      </c>
      <c r="M38" s="287"/>
      <c r="N38" s="287">
        <v>17402</v>
      </c>
      <c r="O38" s="287">
        <v>4916</v>
      </c>
      <c r="P38" s="287">
        <v>1500</v>
      </c>
      <c r="Q38" s="287">
        <f>SUM(R38:W38)</f>
        <v>12261</v>
      </c>
      <c r="R38" s="287">
        <v>400</v>
      </c>
      <c r="S38" s="287"/>
      <c r="T38" s="287"/>
      <c r="U38" s="287">
        <v>11861</v>
      </c>
      <c r="V38" s="287"/>
      <c r="W38" s="287"/>
      <c r="X38" s="288" t="s">
        <v>577</v>
      </c>
      <c r="Y38" s="289"/>
      <c r="Z38" s="289"/>
    </row>
    <row r="39" spans="1:26" s="290" customFormat="1" ht="41.45" customHeight="1">
      <c r="A39" s="282"/>
      <c r="B39" s="283" t="s">
        <v>144</v>
      </c>
      <c r="C39" s="284"/>
      <c r="D39" s="285"/>
      <c r="E39" s="285"/>
      <c r="F39" s="286"/>
      <c r="G39" s="287">
        <f>SUM(H39:K39)</f>
        <v>49455</v>
      </c>
      <c r="H39" s="287"/>
      <c r="I39" s="287">
        <v>44000</v>
      </c>
      <c r="J39" s="287">
        <v>3985</v>
      </c>
      <c r="K39" s="287">
        <v>1470</v>
      </c>
      <c r="L39" s="287">
        <f>SUM(M39:P39)</f>
        <v>29327</v>
      </c>
      <c r="M39" s="287"/>
      <c r="N39" s="287">
        <v>25342</v>
      </c>
      <c r="O39" s="287">
        <v>3985</v>
      </c>
      <c r="P39" s="287"/>
      <c r="Q39" s="287">
        <f>SUM(R39:W39)</f>
        <v>12498</v>
      </c>
      <c r="R39" s="287"/>
      <c r="S39" s="287"/>
      <c r="T39" s="287"/>
      <c r="U39" s="287">
        <v>12498</v>
      </c>
      <c r="V39" s="287"/>
      <c r="W39" s="287"/>
      <c r="X39" s="288" t="s">
        <v>578</v>
      </c>
      <c r="Y39" s="289"/>
      <c r="Z39" s="289"/>
    </row>
    <row r="40" spans="1:26" s="292" customFormat="1" ht="58.9" customHeight="1">
      <c r="A40" s="282"/>
      <c r="B40" s="291" t="s">
        <v>141</v>
      </c>
      <c r="C40" s="284"/>
      <c r="D40" s="284"/>
      <c r="E40" s="284"/>
      <c r="F40" s="284"/>
      <c r="G40" s="287">
        <f>SUM(H40:K40)</f>
        <v>27014</v>
      </c>
      <c r="H40" s="287"/>
      <c r="I40" s="287">
        <v>24284</v>
      </c>
      <c r="J40" s="287"/>
      <c r="K40" s="287">
        <v>2730</v>
      </c>
      <c r="L40" s="287">
        <f>SUM(M40:P40)</f>
        <v>18841</v>
      </c>
      <c r="M40" s="287"/>
      <c r="N40" s="287">
        <v>16111</v>
      </c>
      <c r="O40" s="287"/>
      <c r="P40" s="287">
        <v>2730</v>
      </c>
      <c r="Q40" s="287">
        <f>SUM(R40:W40)</f>
        <v>6341</v>
      </c>
      <c r="R40" s="287"/>
      <c r="S40" s="287"/>
      <c r="T40" s="287"/>
      <c r="U40" s="287">
        <v>6341</v>
      </c>
      <c r="V40" s="287"/>
      <c r="W40" s="287"/>
      <c r="X40" s="288" t="s">
        <v>579</v>
      </c>
      <c r="Y40" s="289"/>
      <c r="Z40" s="289"/>
    </row>
    <row r="41" spans="1:26" s="292" customFormat="1" ht="58.9" customHeight="1">
      <c r="A41" s="282"/>
      <c r="B41" s="291" t="s">
        <v>142</v>
      </c>
      <c r="C41" s="284"/>
      <c r="D41" s="284"/>
      <c r="E41" s="284"/>
      <c r="F41" s="284"/>
      <c r="G41" s="287">
        <f>SUM(H41:K41)</f>
        <v>48590</v>
      </c>
      <c r="H41" s="287"/>
      <c r="I41" s="287">
        <v>45455</v>
      </c>
      <c r="J41" s="287"/>
      <c r="K41" s="287">
        <v>3135</v>
      </c>
      <c r="L41" s="287">
        <f>SUM(M41:P41)</f>
        <v>28697</v>
      </c>
      <c r="M41" s="287"/>
      <c r="N41" s="287">
        <v>27012</v>
      </c>
      <c r="O41" s="287"/>
      <c r="P41" s="287">
        <v>1685</v>
      </c>
      <c r="Q41" s="287">
        <f>SUM(R41:W41)</f>
        <v>14953</v>
      </c>
      <c r="R41" s="287"/>
      <c r="S41" s="287"/>
      <c r="T41" s="287"/>
      <c r="U41" s="287">
        <v>14953</v>
      </c>
      <c r="V41" s="287"/>
      <c r="W41" s="287"/>
      <c r="X41" s="288" t="s">
        <v>580</v>
      </c>
      <c r="Y41" s="289"/>
      <c r="Z41" s="289"/>
    </row>
    <row r="42" spans="1:26" s="292" customFormat="1" ht="58.9" customHeight="1">
      <c r="A42" s="282"/>
      <c r="B42" s="291" t="s">
        <v>140</v>
      </c>
      <c r="C42" s="284"/>
      <c r="D42" s="284"/>
      <c r="E42" s="284"/>
      <c r="F42" s="284"/>
      <c r="G42" s="287">
        <f>SUM(H42:K42)</f>
        <v>5500</v>
      </c>
      <c r="H42" s="287"/>
      <c r="I42" s="287">
        <v>5225</v>
      </c>
      <c r="J42" s="287"/>
      <c r="K42" s="287">
        <v>275</v>
      </c>
      <c r="L42" s="287">
        <f>SUM(M42:P42)</f>
        <v>4945</v>
      </c>
      <c r="M42" s="287"/>
      <c r="N42" s="287">
        <v>4725</v>
      </c>
      <c r="O42" s="287"/>
      <c r="P42" s="287">
        <v>220</v>
      </c>
      <c r="Q42" s="287">
        <f>SUM(R42:W42)</f>
        <v>397</v>
      </c>
      <c r="R42" s="287"/>
      <c r="S42" s="287"/>
      <c r="T42" s="287"/>
      <c r="U42" s="287">
        <v>397</v>
      </c>
      <c r="V42" s="287"/>
      <c r="W42" s="287"/>
      <c r="X42" s="288" t="s">
        <v>581</v>
      </c>
      <c r="Y42" s="289"/>
      <c r="Z42" s="289"/>
    </row>
    <row r="43" spans="1:26" s="298" customFormat="1" ht="58.9" customHeight="1">
      <c r="A43" s="237">
        <v>2</v>
      </c>
      <c r="B43" s="293" t="s">
        <v>582</v>
      </c>
      <c r="C43" s="294"/>
      <c r="D43" s="294"/>
      <c r="E43" s="294"/>
      <c r="F43" s="294"/>
      <c r="G43" s="295">
        <f>G44+G47</f>
        <v>200068</v>
      </c>
      <c r="H43" s="295">
        <f t="shared" ref="H43:W43" si="15">H44+H47</f>
        <v>0</v>
      </c>
      <c r="I43" s="295">
        <f t="shared" si="15"/>
        <v>172226</v>
      </c>
      <c r="J43" s="295">
        <f t="shared" si="15"/>
        <v>26783</v>
      </c>
      <c r="K43" s="295">
        <f t="shared" si="15"/>
        <v>1059</v>
      </c>
      <c r="L43" s="295">
        <f t="shared" si="15"/>
        <v>134200</v>
      </c>
      <c r="M43" s="295">
        <f t="shared" si="15"/>
        <v>0</v>
      </c>
      <c r="N43" s="295">
        <f t="shared" si="15"/>
        <v>108971</v>
      </c>
      <c r="O43" s="295">
        <f t="shared" si="15"/>
        <v>25229</v>
      </c>
      <c r="P43" s="295">
        <f t="shared" si="15"/>
        <v>0</v>
      </c>
      <c r="Q43" s="295">
        <f t="shared" si="15"/>
        <v>50236</v>
      </c>
      <c r="R43" s="295">
        <f t="shared" si="15"/>
        <v>1554</v>
      </c>
      <c r="S43" s="295">
        <f t="shared" si="15"/>
        <v>0</v>
      </c>
      <c r="T43" s="295">
        <f t="shared" si="15"/>
        <v>0</v>
      </c>
      <c r="U43" s="295">
        <f t="shared" si="15"/>
        <v>48682</v>
      </c>
      <c r="V43" s="295">
        <f t="shared" si="15"/>
        <v>0</v>
      </c>
      <c r="W43" s="295">
        <f t="shared" si="15"/>
        <v>0</v>
      </c>
      <c r="X43" s="296"/>
      <c r="Y43" s="297"/>
      <c r="Z43" s="297"/>
    </row>
    <row r="44" spans="1:26" s="281" customFormat="1" ht="58.9" customHeight="1">
      <c r="A44" s="266"/>
      <c r="B44" s="299" t="s">
        <v>583</v>
      </c>
      <c r="C44" s="238"/>
      <c r="D44" s="238"/>
      <c r="E44" s="238"/>
      <c r="F44" s="238"/>
      <c r="G44" s="197">
        <f>SUM(G45:G46)</f>
        <v>94968</v>
      </c>
      <c r="H44" s="197">
        <f t="shared" ref="H44:W44" si="16">SUM(H45:H46)</f>
        <v>0</v>
      </c>
      <c r="I44" s="197">
        <f t="shared" si="16"/>
        <v>91080</v>
      </c>
      <c r="J44" s="197">
        <f t="shared" si="16"/>
        <v>2829</v>
      </c>
      <c r="K44" s="197">
        <f t="shared" si="16"/>
        <v>1059</v>
      </c>
      <c r="L44" s="197">
        <f t="shared" si="16"/>
        <v>66865</v>
      </c>
      <c r="M44" s="197">
        <f t="shared" si="16"/>
        <v>0</v>
      </c>
      <c r="N44" s="197">
        <f t="shared" si="16"/>
        <v>64036</v>
      </c>
      <c r="O44" s="197">
        <f t="shared" si="16"/>
        <v>2829</v>
      </c>
      <c r="P44" s="197">
        <f t="shared" si="16"/>
        <v>0</v>
      </c>
      <c r="Q44" s="197">
        <f t="shared" si="16"/>
        <v>20971</v>
      </c>
      <c r="R44" s="197">
        <f t="shared" si="16"/>
        <v>0</v>
      </c>
      <c r="S44" s="197">
        <f t="shared" si="16"/>
        <v>0</v>
      </c>
      <c r="T44" s="197">
        <f t="shared" si="16"/>
        <v>0</v>
      </c>
      <c r="U44" s="197">
        <f t="shared" si="16"/>
        <v>20971</v>
      </c>
      <c r="V44" s="197">
        <f t="shared" si="16"/>
        <v>0</v>
      </c>
      <c r="W44" s="197">
        <f t="shared" si="16"/>
        <v>0</v>
      </c>
      <c r="X44" s="300"/>
      <c r="Y44" s="232"/>
      <c r="Z44" s="232"/>
    </row>
    <row r="45" spans="1:26" s="265" customFormat="1" ht="53.45" customHeight="1">
      <c r="A45" s="273"/>
      <c r="B45" s="301" t="s">
        <v>145</v>
      </c>
      <c r="C45" s="251"/>
      <c r="D45" s="251"/>
      <c r="E45" s="251"/>
      <c r="F45" s="251"/>
      <c r="G45" s="253">
        <f>SUM(H45:K45)</f>
        <v>48868</v>
      </c>
      <c r="H45" s="253"/>
      <c r="I45" s="253">
        <v>47380</v>
      </c>
      <c r="J45" s="253">
        <v>955</v>
      </c>
      <c r="K45" s="253">
        <v>533</v>
      </c>
      <c r="L45" s="253">
        <f t="shared" ref="L45" si="17">SUM(M45:P45)</f>
        <v>33810</v>
      </c>
      <c r="M45" s="253"/>
      <c r="N45" s="253">
        <v>32855</v>
      </c>
      <c r="O45" s="253">
        <v>955</v>
      </c>
      <c r="P45" s="253"/>
      <c r="Q45" s="253">
        <f>SUM(R45:W45)</f>
        <v>8452</v>
      </c>
      <c r="R45" s="253"/>
      <c r="S45" s="253"/>
      <c r="T45" s="253"/>
      <c r="U45" s="253">
        <v>8452</v>
      </c>
      <c r="V45" s="253"/>
      <c r="W45" s="253"/>
      <c r="X45" s="302" t="s">
        <v>577</v>
      </c>
      <c r="Y45" s="277"/>
      <c r="Z45" s="277"/>
    </row>
    <row r="46" spans="1:26" s="265" customFormat="1" ht="41.45" customHeight="1">
      <c r="A46" s="273"/>
      <c r="B46" s="303" t="s">
        <v>144</v>
      </c>
      <c r="C46" s="251"/>
      <c r="D46" s="251"/>
      <c r="E46" s="251"/>
      <c r="F46" s="251"/>
      <c r="G46" s="253">
        <f t="shared" ref="G46" si="18">SUM(H46:K46)</f>
        <v>46100</v>
      </c>
      <c r="H46" s="253"/>
      <c r="I46" s="253">
        <f>43700</f>
        <v>43700</v>
      </c>
      <c r="J46" s="253">
        <v>1874</v>
      </c>
      <c r="K46" s="253">
        <v>526</v>
      </c>
      <c r="L46" s="253">
        <f>SUM(M46:P46)</f>
        <v>33055</v>
      </c>
      <c r="M46" s="253"/>
      <c r="N46" s="253">
        <v>31181</v>
      </c>
      <c r="O46" s="253">
        <v>1874</v>
      </c>
      <c r="P46" s="253"/>
      <c r="Q46" s="253">
        <f>SUM(R46:W46)</f>
        <v>12519</v>
      </c>
      <c r="R46" s="253"/>
      <c r="S46" s="253"/>
      <c r="T46" s="253"/>
      <c r="U46" s="253">
        <v>12519</v>
      </c>
      <c r="V46" s="253"/>
      <c r="W46" s="253"/>
      <c r="X46" s="302" t="s">
        <v>578</v>
      </c>
      <c r="Y46" s="277"/>
      <c r="Z46" s="277"/>
    </row>
    <row r="47" spans="1:26" ht="41.45" customHeight="1">
      <c r="A47" s="266"/>
      <c r="B47" s="304" t="s">
        <v>584</v>
      </c>
      <c r="C47" s="238"/>
      <c r="D47" s="238"/>
      <c r="E47" s="238"/>
      <c r="F47" s="238"/>
      <c r="G47" s="197">
        <f>SUM(G48:G50)</f>
        <v>105100</v>
      </c>
      <c r="H47" s="197">
        <f t="shared" ref="H47:W47" si="19">SUM(H48:H50)</f>
        <v>0</v>
      </c>
      <c r="I47" s="197">
        <f t="shared" si="19"/>
        <v>81146</v>
      </c>
      <c r="J47" s="197">
        <f t="shared" si="19"/>
        <v>23954</v>
      </c>
      <c r="K47" s="197">
        <f t="shared" si="19"/>
        <v>0</v>
      </c>
      <c r="L47" s="197">
        <f t="shared" si="19"/>
        <v>67335</v>
      </c>
      <c r="M47" s="197">
        <f t="shared" si="19"/>
        <v>0</v>
      </c>
      <c r="N47" s="197">
        <f t="shared" si="19"/>
        <v>44935</v>
      </c>
      <c r="O47" s="197">
        <f>SUM(O48:O50)</f>
        <v>22400</v>
      </c>
      <c r="P47" s="197">
        <f t="shared" si="19"/>
        <v>0</v>
      </c>
      <c r="Q47" s="197">
        <f t="shared" si="19"/>
        <v>29265</v>
      </c>
      <c r="R47" s="197">
        <f t="shared" si="19"/>
        <v>1554</v>
      </c>
      <c r="S47" s="197">
        <f t="shared" si="19"/>
        <v>0</v>
      </c>
      <c r="T47" s="197">
        <f t="shared" si="19"/>
        <v>0</v>
      </c>
      <c r="U47" s="197">
        <f t="shared" si="19"/>
        <v>27711</v>
      </c>
      <c r="V47" s="197">
        <f t="shared" si="19"/>
        <v>0</v>
      </c>
      <c r="W47" s="197">
        <f t="shared" si="19"/>
        <v>0</v>
      </c>
      <c r="X47" s="300"/>
      <c r="Y47" s="232"/>
      <c r="Z47" s="232"/>
    </row>
    <row r="48" spans="1:26" s="265" customFormat="1" ht="41.45" customHeight="1">
      <c r="A48" s="273"/>
      <c r="B48" s="305" t="s">
        <v>124</v>
      </c>
      <c r="C48" s="251"/>
      <c r="D48" s="251"/>
      <c r="E48" s="251"/>
      <c r="F48" s="251"/>
      <c r="G48" s="253">
        <f>SUM(H48:K48)</f>
        <v>4300</v>
      </c>
      <c r="H48" s="253"/>
      <c r="I48" s="253">
        <v>4146</v>
      </c>
      <c r="J48" s="253">
        <v>154</v>
      </c>
      <c r="K48" s="253"/>
      <c r="L48" s="253">
        <f>SUM(M48:P48)</f>
        <v>4146</v>
      </c>
      <c r="M48" s="253"/>
      <c r="N48" s="253">
        <v>4146</v>
      </c>
      <c r="O48" s="253">
        <v>0</v>
      </c>
      <c r="P48" s="253"/>
      <c r="Q48" s="253">
        <f>SUM(R48:W48)</f>
        <v>154</v>
      </c>
      <c r="R48" s="253">
        <v>154</v>
      </c>
      <c r="S48" s="253"/>
      <c r="T48" s="253"/>
      <c r="U48" s="253"/>
      <c r="V48" s="253"/>
      <c r="W48" s="253"/>
      <c r="X48" s="302" t="s">
        <v>578</v>
      </c>
      <c r="Y48" s="277"/>
      <c r="Z48" s="277"/>
    </row>
    <row r="49" spans="1:26" s="265" customFormat="1" ht="41.45" customHeight="1">
      <c r="A49" s="273"/>
      <c r="B49" s="305" t="s">
        <v>473</v>
      </c>
      <c r="C49" s="251"/>
      <c r="D49" s="251"/>
      <c r="E49" s="251"/>
      <c r="F49" s="251"/>
      <c r="G49" s="253">
        <f>SUM(H49:K49)</f>
        <v>36000</v>
      </c>
      <c r="H49" s="253"/>
      <c r="I49" s="253">
        <v>30000</v>
      </c>
      <c r="J49" s="253">
        <v>6000</v>
      </c>
      <c r="K49" s="253"/>
      <c r="L49" s="253">
        <f>SUM(M49:P49)</f>
        <v>29289</v>
      </c>
      <c r="M49" s="253"/>
      <c r="N49" s="253">
        <v>23289</v>
      </c>
      <c r="O49" s="253">
        <v>6000</v>
      </c>
      <c r="P49" s="253"/>
      <c r="Q49" s="253">
        <f>SUM(R49:W49)</f>
        <v>6711</v>
      </c>
      <c r="R49" s="253">
        <v>0</v>
      </c>
      <c r="S49" s="253"/>
      <c r="T49" s="253"/>
      <c r="U49" s="253">
        <v>6711</v>
      </c>
      <c r="V49" s="253"/>
      <c r="W49" s="253"/>
      <c r="X49" s="305" t="s">
        <v>473</v>
      </c>
      <c r="Y49" s="277"/>
      <c r="Z49" s="277"/>
    </row>
    <row r="50" spans="1:26" s="265" customFormat="1" ht="41.45" customHeight="1">
      <c r="A50" s="273"/>
      <c r="B50" s="305" t="s">
        <v>474</v>
      </c>
      <c r="C50" s="251"/>
      <c r="D50" s="251"/>
      <c r="E50" s="251"/>
      <c r="F50" s="251"/>
      <c r="G50" s="253">
        <f>SUM(H50:K50)</f>
        <v>64800</v>
      </c>
      <c r="H50" s="253"/>
      <c r="I50" s="253">
        <v>47000</v>
      </c>
      <c r="J50" s="253">
        <v>17800</v>
      </c>
      <c r="K50" s="253">
        <v>0</v>
      </c>
      <c r="L50" s="253">
        <f>SUM(M50:P50)</f>
        <v>33900</v>
      </c>
      <c r="M50" s="253">
        <v>0</v>
      </c>
      <c r="N50" s="253">
        <v>17500</v>
      </c>
      <c r="O50" s="253">
        <v>16400</v>
      </c>
      <c r="P50" s="253">
        <v>0</v>
      </c>
      <c r="Q50" s="253">
        <f>SUM(R50:W50)</f>
        <v>22400</v>
      </c>
      <c r="R50" s="253">
        <v>1400</v>
      </c>
      <c r="S50" s="253">
        <v>0</v>
      </c>
      <c r="T50" s="253">
        <v>0</v>
      </c>
      <c r="U50" s="253">
        <v>21000</v>
      </c>
      <c r="V50" s="253"/>
      <c r="W50" s="253"/>
      <c r="X50" s="305" t="s">
        <v>474</v>
      </c>
      <c r="Y50" s="277"/>
      <c r="Z50" s="277"/>
    </row>
    <row r="51" spans="1:26" s="308" customFormat="1" ht="31.5">
      <c r="A51" s="242" t="s">
        <v>22</v>
      </c>
      <c r="B51" s="306" t="s">
        <v>585</v>
      </c>
      <c r="C51" s="307"/>
      <c r="D51" s="307"/>
      <c r="E51" s="307"/>
      <c r="F51" s="307"/>
      <c r="G51" s="246">
        <f>G52</f>
        <v>20000</v>
      </c>
      <c r="H51" s="246">
        <f t="shared" ref="H51:W52" si="20">H52</f>
        <v>0</v>
      </c>
      <c r="I51" s="246">
        <f t="shared" si="20"/>
        <v>0</v>
      </c>
      <c r="J51" s="246">
        <f t="shared" si="20"/>
        <v>20000</v>
      </c>
      <c r="K51" s="246">
        <f t="shared" si="20"/>
        <v>0</v>
      </c>
      <c r="L51" s="246">
        <f t="shared" si="20"/>
        <v>1550</v>
      </c>
      <c r="M51" s="246">
        <f t="shared" si="20"/>
        <v>0</v>
      </c>
      <c r="N51" s="246">
        <f t="shared" si="20"/>
        <v>0</v>
      </c>
      <c r="O51" s="246">
        <f t="shared" si="20"/>
        <v>1550</v>
      </c>
      <c r="P51" s="246">
        <f t="shared" si="20"/>
        <v>0</v>
      </c>
      <c r="Q51" s="246">
        <f t="shared" si="20"/>
        <v>10000</v>
      </c>
      <c r="R51" s="246">
        <f t="shared" si="20"/>
        <v>3000</v>
      </c>
      <c r="S51" s="246">
        <f t="shared" si="20"/>
        <v>0</v>
      </c>
      <c r="T51" s="246">
        <f t="shared" si="20"/>
        <v>7000</v>
      </c>
      <c r="U51" s="246">
        <f t="shared" si="20"/>
        <v>0</v>
      </c>
      <c r="V51" s="246">
        <f t="shared" si="20"/>
        <v>0</v>
      </c>
      <c r="W51" s="246">
        <f t="shared" si="20"/>
        <v>0</v>
      </c>
      <c r="X51" s="307"/>
      <c r="Y51" s="247">
        <f t="shared" si="2"/>
        <v>1550</v>
      </c>
      <c r="Z51" s="247">
        <f t="shared" ref="Z51:Z56" si="21">L51-Y51</f>
        <v>0</v>
      </c>
    </row>
    <row r="52" spans="1:26" s="310" customFormat="1" ht="29.45" customHeight="1">
      <c r="A52" s="249">
        <v>1</v>
      </c>
      <c r="B52" s="309" t="s">
        <v>257</v>
      </c>
      <c r="C52" s="252"/>
      <c r="D52" s="252"/>
      <c r="E52" s="252"/>
      <c r="F52" s="252"/>
      <c r="G52" s="264">
        <f>G53</f>
        <v>20000</v>
      </c>
      <c r="H52" s="264">
        <f t="shared" si="20"/>
        <v>0</v>
      </c>
      <c r="I52" s="264">
        <f t="shared" si="20"/>
        <v>0</v>
      </c>
      <c r="J52" s="264">
        <f t="shared" si="20"/>
        <v>20000</v>
      </c>
      <c r="K52" s="264">
        <f t="shared" si="20"/>
        <v>0</v>
      </c>
      <c r="L52" s="264">
        <f t="shared" si="20"/>
        <v>1550</v>
      </c>
      <c r="M52" s="264"/>
      <c r="N52" s="264">
        <f t="shared" si="20"/>
        <v>0</v>
      </c>
      <c r="O52" s="264">
        <f t="shared" si="20"/>
        <v>1550</v>
      </c>
      <c r="P52" s="264">
        <f t="shared" si="20"/>
        <v>0</v>
      </c>
      <c r="Q52" s="264">
        <f t="shared" si="20"/>
        <v>10000</v>
      </c>
      <c r="R52" s="264">
        <f t="shared" si="20"/>
        <v>3000</v>
      </c>
      <c r="S52" s="264">
        <f t="shared" si="20"/>
        <v>0</v>
      </c>
      <c r="T52" s="264">
        <f t="shared" si="20"/>
        <v>7000</v>
      </c>
      <c r="U52" s="264">
        <f t="shared" si="20"/>
        <v>0</v>
      </c>
      <c r="V52" s="264">
        <f t="shared" si="20"/>
        <v>0</v>
      </c>
      <c r="W52" s="264">
        <f t="shared" si="20"/>
        <v>0</v>
      </c>
      <c r="X52" s="252"/>
      <c r="Y52" s="232">
        <f t="shared" si="2"/>
        <v>1550</v>
      </c>
      <c r="Z52" s="232">
        <f t="shared" si="21"/>
        <v>0</v>
      </c>
    </row>
    <row r="53" spans="1:26" s="312" customFormat="1" ht="47.25">
      <c r="A53" s="266"/>
      <c r="B53" s="255" t="s">
        <v>390</v>
      </c>
      <c r="C53" s="238" t="s">
        <v>157</v>
      </c>
      <c r="D53" s="224" t="s">
        <v>336</v>
      </c>
      <c r="E53" s="224" t="s">
        <v>336</v>
      </c>
      <c r="F53" s="256" t="s">
        <v>586</v>
      </c>
      <c r="G53" s="197">
        <v>20000</v>
      </c>
      <c r="H53" s="197"/>
      <c r="I53" s="197"/>
      <c r="J53" s="197">
        <v>20000</v>
      </c>
      <c r="K53" s="267"/>
      <c r="L53" s="258">
        <v>1550</v>
      </c>
      <c r="M53" s="258"/>
      <c r="N53" s="197"/>
      <c r="O53" s="258">
        <v>1550</v>
      </c>
      <c r="P53" s="197"/>
      <c r="Q53" s="181">
        <f>SUM(R53:W53)</f>
        <v>10000</v>
      </c>
      <c r="R53" s="181">
        <v>3000</v>
      </c>
      <c r="S53" s="181">
        <v>0</v>
      </c>
      <c r="T53" s="181">
        <v>7000</v>
      </c>
      <c r="U53" s="181">
        <v>0</v>
      </c>
      <c r="V53" s="181">
        <v>0</v>
      </c>
      <c r="W53" s="181">
        <v>0</v>
      </c>
      <c r="X53" s="311" t="str">
        <f>B52</f>
        <v>Sở Thông tin và truyền thông</v>
      </c>
      <c r="Y53" s="232">
        <f t="shared" si="2"/>
        <v>1550</v>
      </c>
      <c r="Z53" s="232">
        <f t="shared" si="21"/>
        <v>0</v>
      </c>
    </row>
    <row r="54" spans="1:26" s="308" customFormat="1" ht="47.45" customHeight="1">
      <c r="A54" s="242" t="s">
        <v>23</v>
      </c>
      <c r="B54" s="261" t="s">
        <v>302</v>
      </c>
      <c r="C54" s="307"/>
      <c r="D54" s="307"/>
      <c r="E54" s="307"/>
      <c r="F54" s="307"/>
      <c r="G54" s="246">
        <f>G55+G57</f>
        <v>415662</v>
      </c>
      <c r="H54" s="246">
        <f t="shared" ref="H54:W54" si="22">H55+H57</f>
        <v>169793</v>
      </c>
      <c r="I54" s="246">
        <f t="shared" si="22"/>
        <v>187000</v>
      </c>
      <c r="J54" s="246">
        <f t="shared" si="22"/>
        <v>58869</v>
      </c>
      <c r="K54" s="246">
        <f t="shared" si="22"/>
        <v>0</v>
      </c>
      <c r="L54" s="246">
        <f t="shared" si="22"/>
        <v>247265</v>
      </c>
      <c r="M54" s="246">
        <f t="shared" si="22"/>
        <v>164197</v>
      </c>
      <c r="N54" s="246">
        <f t="shared" si="22"/>
        <v>49000</v>
      </c>
      <c r="O54" s="246">
        <f t="shared" si="22"/>
        <v>34068</v>
      </c>
      <c r="P54" s="246">
        <f t="shared" si="22"/>
        <v>0</v>
      </c>
      <c r="Q54" s="246">
        <f t="shared" si="22"/>
        <v>147200</v>
      </c>
      <c r="R54" s="246">
        <f t="shared" si="22"/>
        <v>0</v>
      </c>
      <c r="S54" s="246">
        <f t="shared" si="22"/>
        <v>0</v>
      </c>
      <c r="T54" s="246">
        <f t="shared" si="22"/>
        <v>4000</v>
      </c>
      <c r="U54" s="246">
        <f t="shared" si="22"/>
        <v>138000</v>
      </c>
      <c r="V54" s="246">
        <f t="shared" si="22"/>
        <v>3640</v>
      </c>
      <c r="W54" s="246">
        <f t="shared" si="22"/>
        <v>1560</v>
      </c>
      <c r="X54" s="313"/>
      <c r="Y54" s="247">
        <f t="shared" si="2"/>
        <v>83068</v>
      </c>
      <c r="Z54" s="247">
        <f t="shared" si="21"/>
        <v>164197</v>
      </c>
    </row>
    <row r="55" spans="1:26" s="265" customFormat="1" ht="33" customHeight="1">
      <c r="A55" s="249">
        <v>1</v>
      </c>
      <c r="B55" s="252" t="s">
        <v>43</v>
      </c>
      <c r="C55" s="252"/>
      <c r="D55" s="252"/>
      <c r="E55" s="252"/>
      <c r="F55" s="252"/>
      <c r="G55" s="264">
        <f>G56</f>
        <v>213662</v>
      </c>
      <c r="H55" s="264">
        <f t="shared" ref="H55:W55" si="23">H56</f>
        <v>169793</v>
      </c>
      <c r="I55" s="264">
        <f t="shared" si="23"/>
        <v>0</v>
      </c>
      <c r="J55" s="264">
        <f t="shared" si="23"/>
        <v>43869</v>
      </c>
      <c r="K55" s="264">
        <f t="shared" si="23"/>
        <v>0</v>
      </c>
      <c r="L55" s="264">
        <f>L56</f>
        <v>198265</v>
      </c>
      <c r="M55" s="264">
        <f>M56</f>
        <v>164197</v>
      </c>
      <c r="N55" s="264">
        <f t="shared" si="23"/>
        <v>0</v>
      </c>
      <c r="O55" s="264">
        <f t="shared" si="23"/>
        <v>34068</v>
      </c>
      <c r="P55" s="264">
        <f t="shared" si="23"/>
        <v>0</v>
      </c>
      <c r="Q55" s="264">
        <f t="shared" si="23"/>
        <v>9200</v>
      </c>
      <c r="R55" s="264">
        <f t="shared" si="23"/>
        <v>0</v>
      </c>
      <c r="S55" s="264">
        <f t="shared" si="23"/>
        <v>0</v>
      </c>
      <c r="T55" s="264">
        <f t="shared" si="23"/>
        <v>4000</v>
      </c>
      <c r="U55" s="264">
        <f t="shared" si="23"/>
        <v>0</v>
      </c>
      <c r="V55" s="264">
        <f t="shared" si="23"/>
        <v>3640</v>
      </c>
      <c r="W55" s="264">
        <f t="shared" si="23"/>
        <v>1560</v>
      </c>
      <c r="X55" s="252"/>
      <c r="Y55" s="232">
        <f t="shared" si="2"/>
        <v>34068</v>
      </c>
      <c r="Z55" s="232">
        <f t="shared" si="21"/>
        <v>164197</v>
      </c>
    </row>
    <row r="56" spans="1:26" ht="126">
      <c r="A56" s="266"/>
      <c r="B56" s="205" t="s">
        <v>587</v>
      </c>
      <c r="C56" s="280"/>
      <c r="D56" s="280"/>
      <c r="E56" s="280"/>
      <c r="F56" s="314" t="s">
        <v>340</v>
      </c>
      <c r="G56" s="197">
        <v>213662</v>
      </c>
      <c r="H56" s="197">
        <v>169793</v>
      </c>
      <c r="I56" s="197"/>
      <c r="J56" s="197">
        <v>43869</v>
      </c>
      <c r="K56" s="197"/>
      <c r="L56" s="197">
        <v>198265</v>
      </c>
      <c r="M56" s="197">
        <v>164197</v>
      </c>
      <c r="N56" s="197"/>
      <c r="O56" s="197">
        <v>34068</v>
      </c>
      <c r="P56" s="197"/>
      <c r="Q56" s="181">
        <f>SUM(R56:W56)</f>
        <v>9200</v>
      </c>
      <c r="R56" s="197"/>
      <c r="S56" s="197"/>
      <c r="T56" s="197">
        <v>4000</v>
      </c>
      <c r="U56" s="197"/>
      <c r="V56" s="197">
        <v>3640</v>
      </c>
      <c r="W56" s="197">
        <v>1560</v>
      </c>
      <c r="X56" s="241" t="str">
        <f>B55</f>
        <v>Sở Y tế</v>
      </c>
      <c r="Y56" s="232">
        <f t="shared" si="2"/>
        <v>34068</v>
      </c>
      <c r="Z56" s="232">
        <f t="shared" si="21"/>
        <v>164197</v>
      </c>
    </row>
    <row r="57" spans="1:26" s="265" customFormat="1" ht="34.15" customHeight="1">
      <c r="A57" s="273">
        <v>2</v>
      </c>
      <c r="B57" s="199" t="s">
        <v>261</v>
      </c>
      <c r="C57" s="199"/>
      <c r="D57" s="199"/>
      <c r="E57" s="199"/>
      <c r="F57" s="315"/>
      <c r="G57" s="253">
        <f>G59+G58</f>
        <v>202000</v>
      </c>
      <c r="H57" s="253">
        <f t="shared" ref="H57:W57" si="24">H59+H58</f>
        <v>0</v>
      </c>
      <c r="I57" s="253">
        <f t="shared" si="24"/>
        <v>187000</v>
      </c>
      <c r="J57" s="253">
        <f t="shared" si="24"/>
        <v>15000</v>
      </c>
      <c r="K57" s="253">
        <f t="shared" si="24"/>
        <v>0</v>
      </c>
      <c r="L57" s="253">
        <f t="shared" si="24"/>
        <v>49000</v>
      </c>
      <c r="M57" s="253">
        <f t="shared" si="24"/>
        <v>0</v>
      </c>
      <c r="N57" s="253">
        <f t="shared" si="24"/>
        <v>49000</v>
      </c>
      <c r="O57" s="253">
        <f t="shared" si="24"/>
        <v>0</v>
      </c>
      <c r="P57" s="253">
        <f t="shared" si="24"/>
        <v>0</v>
      </c>
      <c r="Q57" s="253">
        <f t="shared" si="24"/>
        <v>138000</v>
      </c>
      <c r="R57" s="253">
        <f t="shared" si="24"/>
        <v>0</v>
      </c>
      <c r="S57" s="253">
        <f t="shared" si="24"/>
        <v>0</v>
      </c>
      <c r="T57" s="253">
        <f t="shared" si="24"/>
        <v>0</v>
      </c>
      <c r="U57" s="253">
        <f t="shared" si="24"/>
        <v>138000</v>
      </c>
      <c r="V57" s="253">
        <f t="shared" si="24"/>
        <v>0</v>
      </c>
      <c r="W57" s="253">
        <f t="shared" si="24"/>
        <v>0</v>
      </c>
      <c r="X57" s="316"/>
      <c r="Y57" s="277"/>
      <c r="Z57" s="277"/>
    </row>
    <row r="58" spans="1:26" ht="71.45" customHeight="1">
      <c r="A58" s="266"/>
      <c r="B58" s="278" t="s">
        <v>508</v>
      </c>
      <c r="C58" s="238" t="s">
        <v>155</v>
      </c>
      <c r="D58" s="280"/>
      <c r="E58" s="280"/>
      <c r="F58" s="256" t="s">
        <v>510</v>
      </c>
      <c r="G58" s="197">
        <v>161000</v>
      </c>
      <c r="H58" s="197"/>
      <c r="I58" s="197">
        <v>147000</v>
      </c>
      <c r="J58" s="197">
        <v>14000</v>
      </c>
      <c r="K58" s="197"/>
      <c r="L58" s="197">
        <v>40000</v>
      </c>
      <c r="M58" s="197"/>
      <c r="N58" s="197">
        <v>40000</v>
      </c>
      <c r="O58" s="197"/>
      <c r="P58" s="197"/>
      <c r="Q58" s="181">
        <f>SUM(R58:W58)</f>
        <v>107000</v>
      </c>
      <c r="R58" s="197"/>
      <c r="S58" s="197"/>
      <c r="T58" s="197"/>
      <c r="U58" s="197">
        <v>107000</v>
      </c>
      <c r="V58" s="197"/>
      <c r="W58" s="197"/>
      <c r="X58" s="260" t="s">
        <v>588</v>
      </c>
      <c r="Y58" s="232"/>
      <c r="Z58" s="232"/>
    </row>
    <row r="59" spans="1:26" ht="60.75" customHeight="1">
      <c r="A59" s="266"/>
      <c r="B59" s="278" t="s">
        <v>509</v>
      </c>
      <c r="C59" s="238" t="s">
        <v>155</v>
      </c>
      <c r="D59" s="239"/>
      <c r="E59" s="239"/>
      <c r="F59" s="256" t="s">
        <v>511</v>
      </c>
      <c r="G59" s="317">
        <v>41000</v>
      </c>
      <c r="H59" s="267"/>
      <c r="I59" s="317">
        <v>40000</v>
      </c>
      <c r="J59" s="317">
        <v>1000</v>
      </c>
      <c r="K59" s="267"/>
      <c r="L59" s="267">
        <v>9000</v>
      </c>
      <c r="M59" s="267"/>
      <c r="N59" s="267">
        <v>9000</v>
      </c>
      <c r="O59" s="267"/>
      <c r="P59" s="267"/>
      <c r="Q59" s="181">
        <f>SUM(R59:W59)</f>
        <v>31000</v>
      </c>
      <c r="R59" s="267"/>
      <c r="S59" s="267"/>
      <c r="T59" s="267"/>
      <c r="U59" s="317">
        <v>31000</v>
      </c>
      <c r="V59" s="267"/>
      <c r="W59" s="267"/>
      <c r="X59" s="260" t="s">
        <v>588</v>
      </c>
      <c r="Y59" s="232"/>
      <c r="Z59" s="232"/>
    </row>
    <row r="60" spans="1:26" s="320" customFormat="1" ht="42" customHeight="1">
      <c r="A60" s="242" t="s">
        <v>24</v>
      </c>
      <c r="B60" s="261" t="s">
        <v>401</v>
      </c>
      <c r="C60" s="318"/>
      <c r="D60" s="318"/>
      <c r="E60" s="318"/>
      <c r="F60" s="318"/>
      <c r="G60" s="319">
        <f>G61+G74+G87+G89+G91+G94+G106+G108+G110+G112+G114+G117+G158</f>
        <v>13626602</v>
      </c>
      <c r="H60" s="319">
        <f t="shared" ref="H60:W60" si="25">H61+H74+H87+H89+H91+H94+H106+H108+H110+H112+H114+H117+H158</f>
        <v>1871601</v>
      </c>
      <c r="I60" s="319">
        <f t="shared" si="25"/>
        <v>5486103</v>
      </c>
      <c r="J60" s="319">
        <f t="shared" si="25"/>
        <v>6041322</v>
      </c>
      <c r="K60" s="319">
        <f t="shared" si="25"/>
        <v>227576</v>
      </c>
      <c r="L60" s="319">
        <f t="shared" si="25"/>
        <v>7201963</v>
      </c>
      <c r="M60" s="319">
        <f t="shared" si="25"/>
        <v>890715</v>
      </c>
      <c r="N60" s="319">
        <f t="shared" si="25"/>
        <v>3833913</v>
      </c>
      <c r="O60" s="319">
        <f t="shared" si="25"/>
        <v>2407431</v>
      </c>
      <c r="P60" s="319">
        <f t="shared" si="25"/>
        <v>69904</v>
      </c>
      <c r="Q60" s="319">
        <f t="shared" si="25"/>
        <v>1884086.3650793652</v>
      </c>
      <c r="R60" s="319">
        <f t="shared" si="25"/>
        <v>264126</v>
      </c>
      <c r="S60" s="319">
        <f t="shared" si="25"/>
        <v>20000</v>
      </c>
      <c r="T60" s="319">
        <f t="shared" si="25"/>
        <v>313870</v>
      </c>
      <c r="U60" s="319">
        <f t="shared" si="25"/>
        <v>913831</v>
      </c>
      <c r="V60" s="319">
        <f t="shared" si="25"/>
        <v>283950</v>
      </c>
      <c r="W60" s="319">
        <f t="shared" si="25"/>
        <v>88309.365079365074</v>
      </c>
      <c r="X60" s="318"/>
      <c r="Y60" s="247">
        <f t="shared" si="2"/>
        <v>6311248</v>
      </c>
      <c r="Z60" s="247">
        <f t="shared" ref="Z60:Z67" si="26">L60-Y60</f>
        <v>890715</v>
      </c>
    </row>
    <row r="61" spans="1:26" s="298" customFormat="1" ht="37.9" customHeight="1">
      <c r="A61" s="249">
        <v>1</v>
      </c>
      <c r="B61" s="199" t="s">
        <v>261</v>
      </c>
      <c r="C61" s="321"/>
      <c r="D61" s="321"/>
      <c r="E61" s="321"/>
      <c r="F61" s="321"/>
      <c r="G61" s="253">
        <f>SUM(G62:G73)</f>
        <v>4696558</v>
      </c>
      <c r="H61" s="253">
        <f t="shared" ref="H61:W61" si="27">SUM(H62:H73)</f>
        <v>1590569</v>
      </c>
      <c r="I61" s="253">
        <f t="shared" si="27"/>
        <v>947709</v>
      </c>
      <c r="J61" s="253">
        <f t="shared" si="27"/>
        <v>2111513</v>
      </c>
      <c r="K61" s="253">
        <f t="shared" si="27"/>
        <v>46767</v>
      </c>
      <c r="L61" s="253">
        <f t="shared" si="27"/>
        <v>2632130</v>
      </c>
      <c r="M61" s="253">
        <f t="shared" si="27"/>
        <v>890715</v>
      </c>
      <c r="N61" s="253">
        <f t="shared" si="27"/>
        <v>778227</v>
      </c>
      <c r="O61" s="253">
        <f t="shared" si="27"/>
        <v>963188</v>
      </c>
      <c r="P61" s="253">
        <f t="shared" si="27"/>
        <v>0</v>
      </c>
      <c r="Q61" s="253">
        <f>SUM(Q62:Q73)</f>
        <v>610839.36507936509</v>
      </c>
      <c r="R61" s="253">
        <f t="shared" si="27"/>
        <v>80000</v>
      </c>
      <c r="S61" s="253">
        <f t="shared" si="27"/>
        <v>0</v>
      </c>
      <c r="T61" s="253">
        <f t="shared" si="27"/>
        <v>119098</v>
      </c>
      <c r="U61" s="253">
        <f t="shared" si="27"/>
        <v>39482</v>
      </c>
      <c r="V61" s="253">
        <f t="shared" si="27"/>
        <v>283950</v>
      </c>
      <c r="W61" s="253">
        <f t="shared" si="27"/>
        <v>88309.365079365074</v>
      </c>
      <c r="X61" s="321"/>
      <c r="Y61" s="232">
        <f t="shared" si="2"/>
        <v>1741415</v>
      </c>
      <c r="Z61" s="232">
        <f t="shared" si="26"/>
        <v>890715</v>
      </c>
    </row>
    <row r="62" spans="1:26" s="281" customFormat="1" ht="66" customHeight="1">
      <c r="A62" s="254"/>
      <c r="B62" s="278" t="s">
        <v>173</v>
      </c>
      <c r="C62" s="322" t="s">
        <v>157</v>
      </c>
      <c r="D62" s="254"/>
      <c r="E62" s="254"/>
      <c r="F62" s="322" t="s">
        <v>174</v>
      </c>
      <c r="G62" s="197">
        <v>359740</v>
      </c>
      <c r="H62" s="197"/>
      <c r="I62" s="197">
        <v>87709</v>
      </c>
      <c r="J62" s="197">
        <v>272031</v>
      </c>
      <c r="K62" s="197"/>
      <c r="L62" s="197">
        <f>SUM(M62:P62)</f>
        <v>257634</v>
      </c>
      <c r="M62" s="197"/>
      <c r="N62" s="197">
        <v>37709</v>
      </c>
      <c r="O62" s="197">
        <v>219925</v>
      </c>
      <c r="P62" s="197"/>
      <c r="Q62" s="181">
        <f>SUM(R62:W62)</f>
        <v>3000</v>
      </c>
      <c r="R62" s="197"/>
      <c r="S62" s="197"/>
      <c r="T62" s="197">
        <v>3000</v>
      </c>
      <c r="U62" s="197"/>
      <c r="V62" s="197"/>
      <c r="W62" s="197"/>
      <c r="X62" s="260" t="s">
        <v>588</v>
      </c>
      <c r="Y62" s="232">
        <f t="shared" si="2"/>
        <v>257634</v>
      </c>
      <c r="Z62" s="232">
        <f t="shared" si="26"/>
        <v>0</v>
      </c>
    </row>
    <row r="63" spans="1:26" s="281" customFormat="1" ht="94.5">
      <c r="A63" s="254"/>
      <c r="B63" s="278" t="s">
        <v>172</v>
      </c>
      <c r="C63" s="322" t="s">
        <v>160</v>
      </c>
      <c r="D63" s="254"/>
      <c r="E63" s="254"/>
      <c r="F63" s="260" t="s">
        <v>589</v>
      </c>
      <c r="G63" s="197">
        <v>71649</v>
      </c>
      <c r="H63" s="197"/>
      <c r="I63" s="197"/>
      <c r="J63" s="197">
        <v>71649</v>
      </c>
      <c r="K63" s="197"/>
      <c r="L63" s="197">
        <f t="shared" ref="L63:L73" si="28">SUM(M63:P63)</f>
        <v>40191</v>
      </c>
      <c r="M63" s="197"/>
      <c r="N63" s="197">
        <v>0</v>
      </c>
      <c r="O63" s="197">
        <v>40191</v>
      </c>
      <c r="P63" s="197"/>
      <c r="Q63" s="181">
        <f>SUM(R63:W63)</f>
        <v>30809</v>
      </c>
      <c r="R63" s="197">
        <v>10000</v>
      </c>
      <c r="S63" s="197"/>
      <c r="T63" s="197">
        <v>20809</v>
      </c>
      <c r="U63" s="197"/>
      <c r="V63" s="197"/>
      <c r="W63" s="197"/>
      <c r="X63" s="260" t="s">
        <v>588</v>
      </c>
      <c r="Y63" s="232">
        <f t="shared" si="2"/>
        <v>40191</v>
      </c>
      <c r="Z63" s="232">
        <f t="shared" si="26"/>
        <v>0</v>
      </c>
    </row>
    <row r="64" spans="1:26" s="281" customFormat="1" ht="141.75">
      <c r="A64" s="254"/>
      <c r="B64" s="205" t="s">
        <v>175</v>
      </c>
      <c r="C64" s="260" t="s">
        <v>167</v>
      </c>
      <c r="D64" s="254"/>
      <c r="E64" s="254"/>
      <c r="F64" s="260" t="s">
        <v>590</v>
      </c>
      <c r="G64" s="197">
        <v>260000</v>
      </c>
      <c r="H64" s="197"/>
      <c r="I64" s="197">
        <v>200000</v>
      </c>
      <c r="J64" s="197">
        <v>60000</v>
      </c>
      <c r="K64" s="197"/>
      <c r="L64" s="197">
        <f t="shared" si="28"/>
        <v>222000</v>
      </c>
      <c r="M64" s="197"/>
      <c r="N64" s="197">
        <v>200000</v>
      </c>
      <c r="O64" s="197">
        <v>22000</v>
      </c>
      <c r="P64" s="197"/>
      <c r="Q64" s="181">
        <f t="shared" ref="Q64:Q72" si="29">SUM(R64:W64)</f>
        <v>20000</v>
      </c>
      <c r="R64" s="197">
        <v>5000</v>
      </c>
      <c r="S64" s="197"/>
      <c r="T64" s="197">
        <v>15000</v>
      </c>
      <c r="U64" s="197"/>
      <c r="V64" s="197"/>
      <c r="W64" s="197"/>
      <c r="X64" s="260" t="s">
        <v>588</v>
      </c>
      <c r="Y64" s="232">
        <f t="shared" si="2"/>
        <v>222000</v>
      </c>
      <c r="Z64" s="232">
        <f t="shared" si="26"/>
        <v>0</v>
      </c>
    </row>
    <row r="65" spans="1:26" s="281" customFormat="1" ht="63">
      <c r="A65" s="254"/>
      <c r="B65" s="255" t="s">
        <v>591</v>
      </c>
      <c r="C65" s="238" t="s">
        <v>159</v>
      </c>
      <c r="D65" s="254"/>
      <c r="E65" s="254"/>
      <c r="F65" s="256" t="s">
        <v>592</v>
      </c>
      <c r="G65" s="197">
        <v>79980</v>
      </c>
      <c r="H65" s="197"/>
      <c r="I65" s="197"/>
      <c r="J65" s="197">
        <v>79980</v>
      </c>
      <c r="K65" s="197"/>
      <c r="L65" s="197">
        <f t="shared" si="28"/>
        <v>65000</v>
      </c>
      <c r="M65" s="197"/>
      <c r="N65" s="197">
        <v>0</v>
      </c>
      <c r="O65" s="197">
        <v>65000</v>
      </c>
      <c r="P65" s="197"/>
      <c r="Q65" s="181">
        <f t="shared" si="29"/>
        <v>14980</v>
      </c>
      <c r="R65" s="197">
        <v>10000</v>
      </c>
      <c r="S65" s="197"/>
      <c r="T65" s="197">
        <v>4980</v>
      </c>
      <c r="U65" s="197"/>
      <c r="V65" s="197"/>
      <c r="W65" s="197"/>
      <c r="X65" s="260" t="s">
        <v>588</v>
      </c>
      <c r="Y65" s="232">
        <f t="shared" si="2"/>
        <v>65000</v>
      </c>
      <c r="Z65" s="232">
        <f t="shared" si="26"/>
        <v>0</v>
      </c>
    </row>
    <row r="66" spans="1:26" s="281" customFormat="1" ht="47.25">
      <c r="A66" s="254"/>
      <c r="B66" s="278" t="s">
        <v>161</v>
      </c>
      <c r="C66" s="238" t="s">
        <v>158</v>
      </c>
      <c r="D66" s="254"/>
      <c r="E66" s="254"/>
      <c r="F66" s="254"/>
      <c r="G66" s="197">
        <v>220000</v>
      </c>
      <c r="H66" s="197"/>
      <c r="I66" s="197">
        <v>80000</v>
      </c>
      <c r="J66" s="197">
        <v>140000</v>
      </c>
      <c r="K66" s="197"/>
      <c r="L66" s="197">
        <f t="shared" si="28"/>
        <v>184691</v>
      </c>
      <c r="M66" s="197"/>
      <c r="N66" s="197">
        <v>80000</v>
      </c>
      <c r="O66" s="197">
        <v>104691</v>
      </c>
      <c r="P66" s="197"/>
      <c r="Q66" s="181">
        <f t="shared" si="29"/>
        <v>35309</v>
      </c>
      <c r="R66" s="197">
        <v>15000</v>
      </c>
      <c r="S66" s="197"/>
      <c r="T66" s="197">
        <v>20309</v>
      </c>
      <c r="U66" s="197"/>
      <c r="V66" s="197"/>
      <c r="W66" s="197"/>
      <c r="X66" s="260" t="s">
        <v>588</v>
      </c>
      <c r="Y66" s="232">
        <f t="shared" si="2"/>
        <v>184691</v>
      </c>
      <c r="Z66" s="232">
        <f t="shared" si="26"/>
        <v>0</v>
      </c>
    </row>
    <row r="67" spans="1:26" s="281" customFormat="1" ht="47.25">
      <c r="A67" s="254"/>
      <c r="B67" s="255" t="s">
        <v>593</v>
      </c>
      <c r="C67" s="238" t="s">
        <v>159</v>
      </c>
      <c r="D67" s="254"/>
      <c r="E67" s="254"/>
      <c r="F67" s="256" t="s">
        <v>594</v>
      </c>
      <c r="G67" s="197">
        <v>173000</v>
      </c>
      <c r="H67" s="197"/>
      <c r="I67" s="197"/>
      <c r="J67" s="197">
        <v>173000</v>
      </c>
      <c r="K67" s="197"/>
      <c r="L67" s="197">
        <f t="shared" si="28"/>
        <v>33000</v>
      </c>
      <c r="M67" s="197"/>
      <c r="N67" s="197"/>
      <c r="O67" s="197">
        <v>33000</v>
      </c>
      <c r="P67" s="197"/>
      <c r="Q67" s="181">
        <f t="shared" si="29"/>
        <v>25000</v>
      </c>
      <c r="R67" s="197">
        <v>5000</v>
      </c>
      <c r="S67" s="197"/>
      <c r="T67" s="197">
        <v>20000</v>
      </c>
      <c r="U67" s="197"/>
      <c r="V67" s="197"/>
      <c r="W67" s="197"/>
      <c r="X67" s="260" t="s">
        <v>588</v>
      </c>
      <c r="Y67" s="232">
        <f t="shared" si="2"/>
        <v>33000</v>
      </c>
      <c r="Z67" s="232">
        <f t="shared" si="26"/>
        <v>0</v>
      </c>
    </row>
    <row r="68" spans="1:26" s="281" customFormat="1" ht="126">
      <c r="A68" s="254"/>
      <c r="B68" s="205" t="s">
        <v>176</v>
      </c>
      <c r="C68" s="238" t="s">
        <v>157</v>
      </c>
      <c r="D68" s="254"/>
      <c r="E68" s="254"/>
      <c r="F68" s="314" t="s">
        <v>595</v>
      </c>
      <c r="G68" s="197">
        <v>1423646</v>
      </c>
      <c r="H68" s="197">
        <v>887947</v>
      </c>
      <c r="I68" s="197"/>
      <c r="J68" s="197">
        <v>535699</v>
      </c>
      <c r="K68" s="197"/>
      <c r="L68" s="197">
        <f t="shared" si="28"/>
        <v>954550</v>
      </c>
      <c r="M68" s="197">
        <v>558059</v>
      </c>
      <c r="N68" s="197"/>
      <c r="O68" s="197">
        <v>396491</v>
      </c>
      <c r="P68" s="197"/>
      <c r="Q68" s="181">
        <f t="shared" si="29"/>
        <v>295417.14285714284</v>
      </c>
      <c r="R68" s="197">
        <v>20000</v>
      </c>
      <c r="S68" s="197"/>
      <c r="T68" s="197">
        <v>20000</v>
      </c>
      <c r="U68" s="197"/>
      <c r="V68" s="197">
        <v>178792</v>
      </c>
      <c r="W68" s="197">
        <v>76625.142857142855</v>
      </c>
      <c r="X68" s="260" t="s">
        <v>588</v>
      </c>
      <c r="Y68" s="232"/>
      <c r="Z68" s="232"/>
    </row>
    <row r="69" spans="1:26" s="281" customFormat="1" ht="63">
      <c r="A69" s="254"/>
      <c r="B69" s="323" t="s">
        <v>177</v>
      </c>
      <c r="C69" s="238" t="s">
        <v>157</v>
      </c>
      <c r="D69" s="254"/>
      <c r="E69" s="254"/>
      <c r="F69" s="314" t="s">
        <v>596</v>
      </c>
      <c r="G69" s="197">
        <v>913901</v>
      </c>
      <c r="H69" s="197">
        <v>452622</v>
      </c>
      <c r="I69" s="197"/>
      <c r="J69" s="197">
        <v>461279</v>
      </c>
      <c r="K69" s="197"/>
      <c r="L69" s="197">
        <f t="shared" si="28"/>
        <v>414546</v>
      </c>
      <c r="M69" s="197">
        <v>332656</v>
      </c>
      <c r="N69" s="197"/>
      <c r="O69" s="197">
        <v>81890</v>
      </c>
      <c r="P69" s="197"/>
      <c r="Q69" s="181">
        <f t="shared" si="29"/>
        <v>126842.22222222222</v>
      </c>
      <c r="R69" s="197">
        <v>5000</v>
      </c>
      <c r="S69" s="197"/>
      <c r="T69" s="197">
        <v>5000</v>
      </c>
      <c r="U69" s="197"/>
      <c r="V69" s="197">
        <v>105158</v>
      </c>
      <c r="W69" s="197">
        <v>11684.222222222223</v>
      </c>
      <c r="X69" s="260" t="s">
        <v>588</v>
      </c>
      <c r="Y69" s="232"/>
      <c r="Z69" s="232"/>
    </row>
    <row r="70" spans="1:26" s="281" customFormat="1" ht="47.25">
      <c r="A70" s="254"/>
      <c r="B70" s="278" t="s">
        <v>597</v>
      </c>
      <c r="C70" s="238" t="s">
        <v>157</v>
      </c>
      <c r="D70" s="254"/>
      <c r="E70" s="254"/>
      <c r="F70" s="256" t="s">
        <v>598</v>
      </c>
      <c r="G70" s="197">
        <v>370000</v>
      </c>
      <c r="H70" s="197">
        <v>250000</v>
      </c>
      <c r="I70" s="197"/>
      <c r="J70" s="197">
        <v>120000</v>
      </c>
      <c r="K70" s="197"/>
      <c r="L70" s="197">
        <f t="shared" si="28"/>
        <v>0</v>
      </c>
      <c r="M70" s="197"/>
      <c r="N70" s="197"/>
      <c r="O70" s="197"/>
      <c r="P70" s="197"/>
      <c r="Q70" s="181">
        <f t="shared" si="29"/>
        <v>0</v>
      </c>
      <c r="R70" s="197"/>
      <c r="S70" s="197"/>
      <c r="T70" s="197"/>
      <c r="U70" s="197"/>
      <c r="V70" s="197"/>
      <c r="W70" s="197"/>
      <c r="X70" s="260" t="s">
        <v>588</v>
      </c>
      <c r="Y70" s="232"/>
      <c r="Z70" s="232"/>
    </row>
    <row r="71" spans="1:26" s="281" customFormat="1" ht="47.25">
      <c r="A71" s="254"/>
      <c r="B71" s="255" t="s">
        <v>263</v>
      </c>
      <c r="C71" s="238" t="s">
        <v>160</v>
      </c>
      <c r="D71" s="254"/>
      <c r="E71" s="254"/>
      <c r="F71" s="256" t="s">
        <v>599</v>
      </c>
      <c r="G71" s="197">
        <v>200000</v>
      </c>
      <c r="H71" s="197"/>
      <c r="I71" s="197">
        <v>150000</v>
      </c>
      <c r="J71" s="197">
        <v>50000</v>
      </c>
      <c r="K71" s="197"/>
      <c r="L71" s="197">
        <f t="shared" si="28"/>
        <v>110531</v>
      </c>
      <c r="M71" s="197"/>
      <c r="N71" s="197">
        <v>110531</v>
      </c>
      <c r="O71" s="197"/>
      <c r="P71" s="197"/>
      <c r="Q71" s="181">
        <f t="shared" si="29"/>
        <v>44469</v>
      </c>
      <c r="R71" s="197"/>
      <c r="S71" s="197"/>
      <c r="T71" s="197">
        <v>5000</v>
      </c>
      <c r="U71" s="197">
        <v>39469</v>
      </c>
      <c r="V71" s="197"/>
      <c r="W71" s="197"/>
      <c r="X71" s="260" t="s">
        <v>588</v>
      </c>
      <c r="Y71" s="232"/>
      <c r="Z71" s="232"/>
    </row>
    <row r="72" spans="1:26" s="281" customFormat="1" ht="27.6" customHeight="1">
      <c r="A72" s="254"/>
      <c r="B72" s="255" t="s">
        <v>600</v>
      </c>
      <c r="C72" s="238" t="s">
        <v>160</v>
      </c>
      <c r="D72" s="254"/>
      <c r="E72" s="254"/>
      <c r="F72" s="256" t="s">
        <v>601</v>
      </c>
      <c r="G72" s="197">
        <v>78000</v>
      </c>
      <c r="H72" s="197"/>
      <c r="I72" s="197"/>
      <c r="J72" s="197">
        <v>78000</v>
      </c>
      <c r="K72" s="197"/>
      <c r="L72" s="197">
        <f t="shared" si="28"/>
        <v>0</v>
      </c>
      <c r="M72" s="197"/>
      <c r="N72" s="197"/>
      <c r="O72" s="197"/>
      <c r="P72" s="197"/>
      <c r="Q72" s="181">
        <f t="shared" si="29"/>
        <v>10000</v>
      </c>
      <c r="R72" s="197">
        <v>10000</v>
      </c>
      <c r="S72" s="197"/>
      <c r="T72" s="197"/>
      <c r="U72" s="197"/>
      <c r="V72" s="197"/>
      <c r="W72" s="197"/>
      <c r="X72" s="260" t="s">
        <v>588</v>
      </c>
      <c r="Y72" s="232"/>
      <c r="Z72" s="232"/>
    </row>
    <row r="73" spans="1:26" s="281" customFormat="1" ht="94.5">
      <c r="A73" s="254"/>
      <c r="B73" s="278" t="s">
        <v>602</v>
      </c>
      <c r="C73" s="238" t="s">
        <v>603</v>
      </c>
      <c r="D73" s="254"/>
      <c r="E73" s="254"/>
      <c r="F73" s="256" t="s">
        <v>604</v>
      </c>
      <c r="G73" s="197">
        <v>546642</v>
      </c>
      <c r="H73" s="197"/>
      <c r="I73" s="197">
        <v>430000</v>
      </c>
      <c r="J73" s="197">
        <v>69875</v>
      </c>
      <c r="K73" s="197">
        <v>46767</v>
      </c>
      <c r="L73" s="197">
        <f t="shared" si="28"/>
        <v>349987</v>
      </c>
      <c r="M73" s="197"/>
      <c r="N73" s="197">
        <v>349987</v>
      </c>
      <c r="O73" s="197"/>
      <c r="P73" s="197"/>
      <c r="Q73" s="181">
        <f>SUM(R73:W73)</f>
        <v>5013</v>
      </c>
      <c r="R73" s="197"/>
      <c r="S73" s="197"/>
      <c r="T73" s="197">
        <v>5000</v>
      </c>
      <c r="U73" s="197">
        <v>13</v>
      </c>
      <c r="V73" s="197"/>
      <c r="W73" s="197"/>
      <c r="X73" s="260" t="s">
        <v>588</v>
      </c>
      <c r="Y73" s="232"/>
      <c r="Z73" s="232"/>
    </row>
    <row r="74" spans="1:26" s="298" customFormat="1" ht="31.5">
      <c r="A74" s="249">
        <v>2</v>
      </c>
      <c r="B74" s="199" t="s">
        <v>264</v>
      </c>
      <c r="C74" s="321">
        <v>0</v>
      </c>
      <c r="D74" s="321"/>
      <c r="E74" s="321"/>
      <c r="F74" s="321">
        <v>0</v>
      </c>
      <c r="G74" s="253">
        <f>SUM(G75:G86)</f>
        <v>5558800</v>
      </c>
      <c r="H74" s="253">
        <f t="shared" ref="H74:W74" si="30">SUM(H75:H86)</f>
        <v>0</v>
      </c>
      <c r="I74" s="253">
        <f t="shared" si="30"/>
        <v>3551000</v>
      </c>
      <c r="J74" s="253">
        <f t="shared" si="30"/>
        <v>2007800</v>
      </c>
      <c r="K74" s="253">
        <f t="shared" si="30"/>
        <v>0</v>
      </c>
      <c r="L74" s="253">
        <f t="shared" si="30"/>
        <v>2801146</v>
      </c>
      <c r="M74" s="253">
        <f t="shared" si="30"/>
        <v>0</v>
      </c>
      <c r="N74" s="253">
        <f t="shared" si="30"/>
        <v>2269569</v>
      </c>
      <c r="O74" s="253">
        <f t="shared" si="30"/>
        <v>531577</v>
      </c>
      <c r="P74" s="253">
        <f t="shared" si="30"/>
        <v>0</v>
      </c>
      <c r="Q74" s="253">
        <f t="shared" si="30"/>
        <v>738982</v>
      </c>
      <c r="R74" s="253">
        <f t="shared" si="30"/>
        <v>58315</v>
      </c>
      <c r="S74" s="253">
        <f t="shared" si="30"/>
        <v>20000</v>
      </c>
      <c r="T74" s="253">
        <f t="shared" si="30"/>
        <v>76236</v>
      </c>
      <c r="U74" s="253">
        <f t="shared" si="30"/>
        <v>584431</v>
      </c>
      <c r="V74" s="253">
        <f t="shared" si="30"/>
        <v>0</v>
      </c>
      <c r="W74" s="253">
        <f t="shared" si="30"/>
        <v>0</v>
      </c>
      <c r="X74" s="238">
        <v>0</v>
      </c>
      <c r="Y74" s="232">
        <f t="shared" si="2"/>
        <v>2801146</v>
      </c>
      <c r="Z74" s="232">
        <f t="shared" ref="Z74:Z87" si="31">L74-Y74</f>
        <v>0</v>
      </c>
    </row>
    <row r="75" spans="1:26" s="281" customFormat="1" ht="63">
      <c r="A75" s="238"/>
      <c r="B75" s="278" t="s">
        <v>269</v>
      </c>
      <c r="C75" s="238" t="s">
        <v>155</v>
      </c>
      <c r="D75" s="254"/>
      <c r="E75" s="254"/>
      <c r="F75" s="238" t="s">
        <v>443</v>
      </c>
      <c r="G75" s="197">
        <v>650000</v>
      </c>
      <c r="H75" s="197"/>
      <c r="I75" s="197">
        <v>550000</v>
      </c>
      <c r="J75" s="197">
        <v>100000</v>
      </c>
      <c r="K75" s="197"/>
      <c r="L75" s="197">
        <v>595610</v>
      </c>
      <c r="M75" s="197"/>
      <c r="N75" s="197">
        <v>525000</v>
      </c>
      <c r="O75" s="197">
        <v>70610</v>
      </c>
      <c r="P75" s="197"/>
      <c r="Q75" s="181">
        <f>SUM(R75:W75)</f>
        <v>34000</v>
      </c>
      <c r="R75" s="197"/>
      <c r="S75" s="197"/>
      <c r="T75" s="197">
        <v>9000</v>
      </c>
      <c r="U75" s="197">
        <v>25000</v>
      </c>
      <c r="V75" s="197"/>
      <c r="W75" s="197"/>
      <c r="X75" s="238" t="s">
        <v>264</v>
      </c>
      <c r="Y75" s="232">
        <f t="shared" si="2"/>
        <v>595610</v>
      </c>
      <c r="Z75" s="232">
        <f t="shared" si="31"/>
        <v>0</v>
      </c>
    </row>
    <row r="76" spans="1:26" s="281" customFormat="1" ht="78.75">
      <c r="A76" s="238"/>
      <c r="B76" s="278" t="s">
        <v>605</v>
      </c>
      <c r="C76" s="260" t="s">
        <v>155</v>
      </c>
      <c r="D76" s="254"/>
      <c r="E76" s="254"/>
      <c r="F76" s="256" t="s">
        <v>606</v>
      </c>
      <c r="G76" s="197">
        <v>180000</v>
      </c>
      <c r="H76" s="197"/>
      <c r="I76" s="197">
        <v>100000</v>
      </c>
      <c r="J76" s="197">
        <v>80000</v>
      </c>
      <c r="K76" s="197"/>
      <c r="L76" s="197">
        <v>60000</v>
      </c>
      <c r="M76" s="197"/>
      <c r="N76" s="197">
        <v>60000</v>
      </c>
      <c r="O76" s="197"/>
      <c r="P76" s="197"/>
      <c r="Q76" s="181">
        <f t="shared" ref="Q76:Q85" si="32">SUM(R76:W76)</f>
        <v>40000</v>
      </c>
      <c r="R76" s="197"/>
      <c r="S76" s="197"/>
      <c r="T76" s="197"/>
      <c r="U76" s="197">
        <v>40000</v>
      </c>
      <c r="V76" s="197"/>
      <c r="W76" s="197"/>
      <c r="X76" s="238" t="s">
        <v>264</v>
      </c>
      <c r="Y76" s="232">
        <f t="shared" si="2"/>
        <v>60000</v>
      </c>
      <c r="Z76" s="232">
        <f t="shared" si="31"/>
        <v>0</v>
      </c>
    </row>
    <row r="77" spans="1:26" s="281" customFormat="1" ht="189">
      <c r="A77" s="238"/>
      <c r="B77" s="278" t="s">
        <v>271</v>
      </c>
      <c r="C77" s="238" t="s">
        <v>156</v>
      </c>
      <c r="D77" s="254"/>
      <c r="E77" s="254"/>
      <c r="F77" s="256" t="s">
        <v>607</v>
      </c>
      <c r="G77" s="197">
        <v>362800</v>
      </c>
      <c r="H77" s="197"/>
      <c r="I77" s="197">
        <v>250000</v>
      </c>
      <c r="J77" s="197">
        <v>112800</v>
      </c>
      <c r="K77" s="197"/>
      <c r="L77" s="197">
        <v>151658</v>
      </c>
      <c r="M77" s="197"/>
      <c r="N77" s="197">
        <v>139658</v>
      </c>
      <c r="O77" s="197">
        <v>12000</v>
      </c>
      <c r="P77" s="197"/>
      <c r="Q77" s="181">
        <f t="shared" si="32"/>
        <v>110342</v>
      </c>
      <c r="R77" s="197"/>
      <c r="S77" s="197"/>
      <c r="T77" s="197"/>
      <c r="U77" s="197">
        <v>110342</v>
      </c>
      <c r="V77" s="197"/>
      <c r="W77" s="197"/>
      <c r="X77" s="238" t="s">
        <v>264</v>
      </c>
      <c r="Y77" s="232">
        <f t="shared" si="2"/>
        <v>151658</v>
      </c>
      <c r="Z77" s="232">
        <f t="shared" si="31"/>
        <v>0</v>
      </c>
    </row>
    <row r="78" spans="1:26" s="281" customFormat="1" ht="141.75">
      <c r="A78" s="238"/>
      <c r="B78" s="278" t="s">
        <v>404</v>
      </c>
      <c r="C78" s="238" t="s">
        <v>157</v>
      </c>
      <c r="D78" s="254"/>
      <c r="E78" s="254"/>
      <c r="F78" s="256" t="s">
        <v>608</v>
      </c>
      <c r="G78" s="197">
        <v>558000</v>
      </c>
      <c r="H78" s="197"/>
      <c r="I78" s="197">
        <v>380000</v>
      </c>
      <c r="J78" s="197">
        <v>178000</v>
      </c>
      <c r="K78" s="197"/>
      <c r="L78" s="197">
        <v>149977</v>
      </c>
      <c r="M78" s="197"/>
      <c r="N78" s="197">
        <v>149977</v>
      </c>
      <c r="O78" s="197">
        <v>0</v>
      </c>
      <c r="P78" s="197"/>
      <c r="Q78" s="181">
        <f t="shared" si="32"/>
        <v>156023</v>
      </c>
      <c r="R78" s="197"/>
      <c r="S78" s="197"/>
      <c r="T78" s="197">
        <v>6000</v>
      </c>
      <c r="U78" s="197">
        <v>150023</v>
      </c>
      <c r="V78" s="197"/>
      <c r="W78" s="197"/>
      <c r="X78" s="238" t="s">
        <v>264</v>
      </c>
      <c r="Y78" s="232">
        <f t="shared" si="2"/>
        <v>149977</v>
      </c>
      <c r="Z78" s="232">
        <f t="shared" si="31"/>
        <v>0</v>
      </c>
    </row>
    <row r="79" spans="1:26" s="281" customFormat="1" ht="47.25">
      <c r="A79" s="238"/>
      <c r="B79" s="255" t="s">
        <v>273</v>
      </c>
      <c r="C79" s="238" t="s">
        <v>609</v>
      </c>
      <c r="D79" s="254"/>
      <c r="E79" s="254"/>
      <c r="F79" s="256" t="s">
        <v>610</v>
      </c>
      <c r="G79" s="197">
        <v>304000</v>
      </c>
      <c r="H79" s="197"/>
      <c r="I79" s="197">
        <v>226000</v>
      </c>
      <c r="J79" s="197">
        <v>78000</v>
      </c>
      <c r="K79" s="197"/>
      <c r="L79" s="197">
        <v>134934</v>
      </c>
      <c r="M79" s="197"/>
      <c r="N79" s="197">
        <v>134934</v>
      </c>
      <c r="O79" s="197">
        <v>0</v>
      </c>
      <c r="P79" s="197"/>
      <c r="Q79" s="181">
        <f t="shared" si="32"/>
        <v>15066</v>
      </c>
      <c r="R79" s="197"/>
      <c r="S79" s="197"/>
      <c r="T79" s="197">
        <v>0</v>
      </c>
      <c r="U79" s="197">
        <v>15066</v>
      </c>
      <c r="V79" s="197"/>
      <c r="W79" s="197"/>
      <c r="X79" s="238" t="s">
        <v>264</v>
      </c>
      <c r="Y79" s="232">
        <f t="shared" si="2"/>
        <v>134934</v>
      </c>
      <c r="Z79" s="232">
        <f t="shared" si="31"/>
        <v>0</v>
      </c>
    </row>
    <row r="80" spans="1:26" s="281" customFormat="1" ht="94.5">
      <c r="A80" s="238"/>
      <c r="B80" s="278" t="s">
        <v>611</v>
      </c>
      <c r="C80" s="238" t="s">
        <v>612</v>
      </c>
      <c r="D80" s="254"/>
      <c r="E80" s="254"/>
      <c r="F80" s="256" t="s">
        <v>613</v>
      </c>
      <c r="G80" s="197">
        <v>2030000</v>
      </c>
      <c r="H80" s="197"/>
      <c r="I80" s="197">
        <v>1485000</v>
      </c>
      <c r="J80" s="197">
        <v>545000</v>
      </c>
      <c r="K80" s="197"/>
      <c r="L80" s="197">
        <v>705000</v>
      </c>
      <c r="M80" s="197"/>
      <c r="N80" s="197">
        <v>700000</v>
      </c>
      <c r="O80" s="197">
        <v>5000</v>
      </c>
      <c r="P80" s="197"/>
      <c r="Q80" s="181">
        <f t="shared" si="32"/>
        <v>249000</v>
      </c>
      <c r="R80" s="197"/>
      <c r="S80" s="197"/>
      <c r="T80" s="197">
        <v>5000</v>
      </c>
      <c r="U80" s="197">
        <v>244000</v>
      </c>
      <c r="V80" s="197"/>
      <c r="W80" s="197"/>
      <c r="X80" s="238" t="s">
        <v>264</v>
      </c>
      <c r="Y80" s="232">
        <f t="shared" si="2"/>
        <v>705000</v>
      </c>
      <c r="Z80" s="232">
        <f t="shared" si="31"/>
        <v>0</v>
      </c>
    </row>
    <row r="81" spans="1:26" s="281" customFormat="1" ht="110.25">
      <c r="A81" s="238"/>
      <c r="B81" s="324" t="s">
        <v>614</v>
      </c>
      <c r="C81" s="260" t="s">
        <v>155</v>
      </c>
      <c r="D81" s="254"/>
      <c r="E81" s="254"/>
      <c r="F81" s="260" t="s">
        <v>615</v>
      </c>
      <c r="G81" s="197">
        <v>425000</v>
      </c>
      <c r="H81" s="197"/>
      <c r="I81" s="197">
        <v>280000</v>
      </c>
      <c r="J81" s="197">
        <v>145000</v>
      </c>
      <c r="K81" s="197"/>
      <c r="L81" s="197">
        <v>364312</v>
      </c>
      <c r="M81" s="197"/>
      <c r="N81" s="197">
        <v>280000</v>
      </c>
      <c r="O81" s="197">
        <v>84312</v>
      </c>
      <c r="P81" s="197"/>
      <c r="Q81" s="181">
        <f t="shared" si="32"/>
        <v>31442</v>
      </c>
      <c r="R81" s="197">
        <v>15000</v>
      </c>
      <c r="S81" s="197"/>
      <c r="T81" s="197">
        <v>16442</v>
      </c>
      <c r="U81" s="197"/>
      <c r="V81" s="197"/>
      <c r="W81" s="197"/>
      <c r="X81" s="238" t="s">
        <v>264</v>
      </c>
      <c r="Y81" s="232">
        <f t="shared" si="2"/>
        <v>364312</v>
      </c>
      <c r="Z81" s="232">
        <f t="shared" si="31"/>
        <v>0</v>
      </c>
    </row>
    <row r="82" spans="1:26" s="281" customFormat="1" ht="63">
      <c r="A82" s="238"/>
      <c r="B82" s="324" t="s">
        <v>616</v>
      </c>
      <c r="C82" s="260" t="s">
        <v>155</v>
      </c>
      <c r="D82" s="254"/>
      <c r="E82" s="254"/>
      <c r="F82" s="260" t="s">
        <v>617</v>
      </c>
      <c r="G82" s="197">
        <v>412000</v>
      </c>
      <c r="H82" s="197"/>
      <c r="I82" s="197">
        <v>280000</v>
      </c>
      <c r="J82" s="197">
        <v>132000</v>
      </c>
      <c r="K82" s="197"/>
      <c r="L82" s="197">
        <v>303122</v>
      </c>
      <c r="M82" s="197"/>
      <c r="N82" s="197">
        <v>280000</v>
      </c>
      <c r="O82" s="197">
        <v>23122</v>
      </c>
      <c r="P82" s="197"/>
      <c r="Q82" s="181">
        <f t="shared" si="32"/>
        <v>13030</v>
      </c>
      <c r="R82" s="197">
        <v>5000</v>
      </c>
      <c r="S82" s="197"/>
      <c r="T82" s="197">
        <v>8030</v>
      </c>
      <c r="U82" s="197"/>
      <c r="V82" s="197"/>
      <c r="W82" s="197"/>
      <c r="X82" s="238" t="s">
        <v>264</v>
      </c>
      <c r="Y82" s="232">
        <f t="shared" si="2"/>
        <v>303122</v>
      </c>
      <c r="Z82" s="232">
        <f t="shared" si="31"/>
        <v>0</v>
      </c>
    </row>
    <row r="83" spans="1:26" s="281" customFormat="1" ht="63">
      <c r="A83" s="238"/>
      <c r="B83" s="255" t="s">
        <v>407</v>
      </c>
      <c r="C83" s="238" t="s">
        <v>162</v>
      </c>
      <c r="D83" s="254"/>
      <c r="E83" s="254"/>
      <c r="F83" s="256" t="s">
        <v>618</v>
      </c>
      <c r="G83" s="197">
        <v>115000</v>
      </c>
      <c r="H83" s="197"/>
      <c r="I83" s="197"/>
      <c r="J83" s="197">
        <v>115000</v>
      </c>
      <c r="K83" s="197"/>
      <c r="L83" s="197">
        <v>48000</v>
      </c>
      <c r="M83" s="197"/>
      <c r="N83" s="197">
        <v>0</v>
      </c>
      <c r="O83" s="197">
        <v>48000</v>
      </c>
      <c r="P83" s="197"/>
      <c r="Q83" s="181">
        <f t="shared" si="32"/>
        <v>15000</v>
      </c>
      <c r="R83" s="197">
        <v>10000</v>
      </c>
      <c r="S83" s="197"/>
      <c r="T83" s="197">
        <v>5000</v>
      </c>
      <c r="U83" s="197"/>
      <c r="V83" s="197"/>
      <c r="W83" s="197"/>
      <c r="X83" s="238" t="s">
        <v>264</v>
      </c>
      <c r="Y83" s="232">
        <f t="shared" si="2"/>
        <v>48000</v>
      </c>
      <c r="Z83" s="232">
        <f t="shared" si="31"/>
        <v>0</v>
      </c>
    </row>
    <row r="84" spans="1:26" s="281" customFormat="1" ht="31.5">
      <c r="A84" s="238"/>
      <c r="B84" s="255" t="s">
        <v>270</v>
      </c>
      <c r="C84" s="238" t="s">
        <v>160</v>
      </c>
      <c r="D84" s="254"/>
      <c r="E84" s="254"/>
      <c r="F84" s="256" t="s">
        <v>619</v>
      </c>
      <c r="G84" s="197">
        <v>100000</v>
      </c>
      <c r="H84" s="197"/>
      <c r="I84" s="197"/>
      <c r="J84" s="197">
        <v>100000</v>
      </c>
      <c r="K84" s="197"/>
      <c r="L84" s="197">
        <v>65600</v>
      </c>
      <c r="M84" s="197"/>
      <c r="N84" s="197">
        <v>0</v>
      </c>
      <c r="O84" s="197">
        <v>65600</v>
      </c>
      <c r="P84" s="197"/>
      <c r="Q84" s="181">
        <f t="shared" si="32"/>
        <v>31400</v>
      </c>
      <c r="R84" s="197">
        <v>18452</v>
      </c>
      <c r="S84" s="197"/>
      <c r="T84" s="197">
        <v>12948</v>
      </c>
      <c r="U84" s="197"/>
      <c r="V84" s="197"/>
      <c r="W84" s="197"/>
      <c r="X84" s="238" t="s">
        <v>264</v>
      </c>
      <c r="Y84" s="232">
        <f t="shared" si="2"/>
        <v>65600</v>
      </c>
      <c r="Z84" s="232">
        <f t="shared" si="31"/>
        <v>0</v>
      </c>
    </row>
    <row r="85" spans="1:26" s="281" customFormat="1" ht="78.75">
      <c r="A85" s="238"/>
      <c r="B85" s="255" t="s">
        <v>620</v>
      </c>
      <c r="C85" s="238" t="s">
        <v>158</v>
      </c>
      <c r="D85" s="254"/>
      <c r="E85" s="254"/>
      <c r="F85" s="256" t="s">
        <v>442</v>
      </c>
      <c r="G85" s="197">
        <v>130000</v>
      </c>
      <c r="H85" s="197"/>
      <c r="I85" s="197"/>
      <c r="J85" s="197">
        <v>130000</v>
      </c>
      <c r="K85" s="197"/>
      <c r="L85" s="197">
        <v>108000</v>
      </c>
      <c r="M85" s="197"/>
      <c r="N85" s="197">
        <v>0</v>
      </c>
      <c r="O85" s="197">
        <v>108000</v>
      </c>
      <c r="P85" s="197"/>
      <c r="Q85" s="181">
        <f t="shared" si="32"/>
        <v>15000</v>
      </c>
      <c r="R85" s="197">
        <v>5000</v>
      </c>
      <c r="S85" s="197"/>
      <c r="T85" s="197">
        <v>10000</v>
      </c>
      <c r="U85" s="197"/>
      <c r="V85" s="197"/>
      <c r="W85" s="197"/>
      <c r="X85" s="238" t="s">
        <v>264</v>
      </c>
      <c r="Y85" s="232">
        <f t="shared" si="2"/>
        <v>108000</v>
      </c>
      <c r="Z85" s="232">
        <f t="shared" si="31"/>
        <v>0</v>
      </c>
    </row>
    <row r="86" spans="1:26" s="281" customFormat="1" ht="78.75">
      <c r="A86" s="238"/>
      <c r="B86" s="255" t="s">
        <v>621</v>
      </c>
      <c r="C86" s="238" t="s">
        <v>622</v>
      </c>
      <c r="D86" s="254"/>
      <c r="E86" s="254"/>
      <c r="F86" s="256" t="s">
        <v>623</v>
      </c>
      <c r="G86" s="197">
        <v>292000</v>
      </c>
      <c r="H86" s="197"/>
      <c r="I86" s="197"/>
      <c r="J86" s="197">
        <v>292000</v>
      </c>
      <c r="K86" s="197"/>
      <c r="L86" s="197">
        <v>114933</v>
      </c>
      <c r="M86" s="197"/>
      <c r="N86" s="197">
        <v>0</v>
      </c>
      <c r="O86" s="197">
        <v>114933</v>
      </c>
      <c r="P86" s="197"/>
      <c r="Q86" s="181">
        <f>SUM(R86:W86)</f>
        <v>28679</v>
      </c>
      <c r="R86" s="197">
        <v>4863</v>
      </c>
      <c r="S86" s="197">
        <v>20000</v>
      </c>
      <c r="T86" s="197">
        <v>3816</v>
      </c>
      <c r="U86" s="197"/>
      <c r="V86" s="197"/>
      <c r="W86" s="197"/>
      <c r="X86" s="238" t="s">
        <v>264</v>
      </c>
      <c r="Y86" s="232">
        <f t="shared" si="2"/>
        <v>114933</v>
      </c>
      <c r="Z86" s="232">
        <f t="shared" si="31"/>
        <v>0</v>
      </c>
    </row>
    <row r="87" spans="1:26" s="298" customFormat="1" ht="28.15" customHeight="1">
      <c r="A87" s="249">
        <v>3</v>
      </c>
      <c r="B87" s="199" t="s">
        <v>274</v>
      </c>
      <c r="C87" s="321">
        <v>0</v>
      </c>
      <c r="D87" s="321"/>
      <c r="E87" s="321"/>
      <c r="F87" s="321">
        <v>0</v>
      </c>
      <c r="G87" s="253">
        <f>G88</f>
        <v>472000</v>
      </c>
      <c r="H87" s="253">
        <f t="shared" ref="H87:W87" si="33">H88</f>
        <v>281032</v>
      </c>
      <c r="I87" s="253">
        <f t="shared" si="33"/>
        <v>0</v>
      </c>
      <c r="J87" s="253">
        <f t="shared" si="33"/>
        <v>190968</v>
      </c>
      <c r="K87" s="253">
        <f t="shared" si="33"/>
        <v>0</v>
      </c>
      <c r="L87" s="253">
        <f t="shared" si="33"/>
        <v>379745</v>
      </c>
      <c r="M87" s="253">
        <f t="shared" si="33"/>
        <v>0</v>
      </c>
      <c r="N87" s="253">
        <f t="shared" si="33"/>
        <v>281032</v>
      </c>
      <c r="O87" s="253">
        <f t="shared" si="33"/>
        <v>98713</v>
      </c>
      <c r="P87" s="253">
        <f t="shared" si="33"/>
        <v>0</v>
      </c>
      <c r="Q87" s="253">
        <f t="shared" si="33"/>
        <v>15000</v>
      </c>
      <c r="R87" s="253">
        <f t="shared" si="33"/>
        <v>5000</v>
      </c>
      <c r="S87" s="253">
        <f t="shared" si="33"/>
        <v>0</v>
      </c>
      <c r="T87" s="253">
        <f t="shared" si="33"/>
        <v>10000</v>
      </c>
      <c r="U87" s="253">
        <f t="shared" si="33"/>
        <v>0</v>
      </c>
      <c r="V87" s="253">
        <f t="shared" si="33"/>
        <v>0</v>
      </c>
      <c r="W87" s="253">
        <f t="shared" si="33"/>
        <v>0</v>
      </c>
      <c r="X87" s="238">
        <v>0</v>
      </c>
      <c r="Y87" s="232">
        <f t="shared" si="2"/>
        <v>379745</v>
      </c>
      <c r="Z87" s="232">
        <f t="shared" si="31"/>
        <v>0</v>
      </c>
    </row>
    <row r="88" spans="1:26" s="298" customFormat="1" ht="47.25">
      <c r="A88" s="254"/>
      <c r="B88" s="280" t="s">
        <v>624</v>
      </c>
      <c r="C88" s="321"/>
      <c r="D88" s="321"/>
      <c r="E88" s="321"/>
      <c r="F88" s="314" t="s">
        <v>625</v>
      </c>
      <c r="G88" s="197">
        <v>472000</v>
      </c>
      <c r="H88" s="259">
        <v>281032</v>
      </c>
      <c r="I88" s="253"/>
      <c r="J88" s="259">
        <v>190968</v>
      </c>
      <c r="K88" s="253"/>
      <c r="L88" s="197">
        <f>SUM(M88:P88)</f>
        <v>379745</v>
      </c>
      <c r="M88" s="197"/>
      <c r="N88" s="253">
        <v>281032</v>
      </c>
      <c r="O88" s="325">
        <v>98713</v>
      </c>
      <c r="P88" s="253"/>
      <c r="Q88" s="181">
        <f>SUM(R88:W88)</f>
        <v>15000</v>
      </c>
      <c r="R88" s="197">
        <v>5000</v>
      </c>
      <c r="S88" s="197"/>
      <c r="T88" s="197">
        <v>10000</v>
      </c>
      <c r="U88" s="253"/>
      <c r="V88" s="253"/>
      <c r="W88" s="253"/>
      <c r="X88" s="238" t="s">
        <v>274</v>
      </c>
      <c r="Y88" s="232"/>
      <c r="Z88" s="232"/>
    </row>
    <row r="89" spans="1:26" s="298" customFormat="1" ht="25.15" customHeight="1">
      <c r="A89" s="249">
        <v>4</v>
      </c>
      <c r="B89" s="199" t="s">
        <v>534</v>
      </c>
      <c r="C89" s="321">
        <v>0</v>
      </c>
      <c r="D89" s="321"/>
      <c r="E89" s="321"/>
      <c r="F89" s="321">
        <v>0</v>
      </c>
      <c r="G89" s="253">
        <f>G90</f>
        <v>526600</v>
      </c>
      <c r="H89" s="253">
        <f t="shared" ref="H89:W89" si="34">H90</f>
        <v>0</v>
      </c>
      <c r="I89" s="253">
        <f t="shared" si="34"/>
        <v>95000</v>
      </c>
      <c r="J89" s="253">
        <f t="shared" si="34"/>
        <v>431600</v>
      </c>
      <c r="K89" s="253">
        <f t="shared" si="34"/>
        <v>0</v>
      </c>
      <c r="L89" s="253">
        <f t="shared" si="34"/>
        <v>271926</v>
      </c>
      <c r="M89" s="253"/>
      <c r="N89" s="253">
        <f t="shared" si="34"/>
        <v>95000</v>
      </c>
      <c r="O89" s="253">
        <f t="shared" si="34"/>
        <v>176926</v>
      </c>
      <c r="P89" s="253">
        <f t="shared" si="34"/>
        <v>0</v>
      </c>
      <c r="Q89" s="253">
        <f t="shared" si="34"/>
        <v>50000</v>
      </c>
      <c r="R89" s="253">
        <f t="shared" si="34"/>
        <v>25000</v>
      </c>
      <c r="S89" s="253">
        <f t="shared" si="34"/>
        <v>0</v>
      </c>
      <c r="T89" s="253">
        <f t="shared" si="34"/>
        <v>25000</v>
      </c>
      <c r="U89" s="253">
        <f t="shared" si="34"/>
        <v>0</v>
      </c>
      <c r="V89" s="253">
        <f t="shared" si="34"/>
        <v>0</v>
      </c>
      <c r="W89" s="253">
        <f t="shared" si="34"/>
        <v>0</v>
      </c>
      <c r="X89" s="238">
        <v>0</v>
      </c>
      <c r="Y89" s="232">
        <f t="shared" si="2"/>
        <v>271926</v>
      </c>
      <c r="Z89" s="232">
        <f t="shared" ref="Z89:Z94" si="35">L89-Y89</f>
        <v>0</v>
      </c>
    </row>
    <row r="90" spans="1:26" s="281" customFormat="1" ht="126">
      <c r="A90" s="238"/>
      <c r="B90" s="280" t="s">
        <v>178</v>
      </c>
      <c r="C90" s="254" t="s">
        <v>157</v>
      </c>
      <c r="D90" s="254"/>
      <c r="E90" s="254"/>
      <c r="F90" s="254" t="s">
        <v>451</v>
      </c>
      <c r="G90" s="197">
        <v>526600</v>
      </c>
      <c r="H90" s="197">
        <v>0</v>
      </c>
      <c r="I90" s="197">
        <v>95000</v>
      </c>
      <c r="J90" s="197">
        <v>431600</v>
      </c>
      <c r="K90" s="197">
        <v>0</v>
      </c>
      <c r="L90" s="197">
        <f>SUM(M90:P90)</f>
        <v>271926</v>
      </c>
      <c r="M90" s="197"/>
      <c r="N90" s="197">
        <v>95000</v>
      </c>
      <c r="O90" s="197">
        <v>176926</v>
      </c>
      <c r="P90" s="197">
        <v>0</v>
      </c>
      <c r="Q90" s="181">
        <f>SUM(R90:W90)</f>
        <v>50000</v>
      </c>
      <c r="R90" s="197">
        <v>25000</v>
      </c>
      <c r="S90" s="197">
        <v>0</v>
      </c>
      <c r="T90" s="197">
        <v>25000</v>
      </c>
      <c r="U90" s="197">
        <v>0</v>
      </c>
      <c r="V90" s="197">
        <v>0</v>
      </c>
      <c r="W90" s="197">
        <v>0</v>
      </c>
      <c r="X90" s="238" t="s">
        <v>534</v>
      </c>
      <c r="Y90" s="232">
        <f t="shared" si="2"/>
        <v>271926</v>
      </c>
      <c r="Z90" s="232">
        <f t="shared" si="35"/>
        <v>0</v>
      </c>
    </row>
    <row r="91" spans="1:26" s="298" customFormat="1" ht="31.5">
      <c r="A91" s="249">
        <v>5</v>
      </c>
      <c r="B91" s="199" t="s">
        <v>278</v>
      </c>
      <c r="C91" s="321">
        <v>0</v>
      </c>
      <c r="D91" s="321"/>
      <c r="E91" s="321"/>
      <c r="F91" s="321">
        <v>0</v>
      </c>
      <c r="G91" s="253">
        <f>SUM(G92:G93)</f>
        <v>633161</v>
      </c>
      <c r="H91" s="253">
        <f t="shared" ref="H91:W91" si="36">SUM(H92:H93)</f>
        <v>0</v>
      </c>
      <c r="I91" s="253">
        <f t="shared" si="36"/>
        <v>0</v>
      </c>
      <c r="J91" s="253">
        <f t="shared" si="36"/>
        <v>633161</v>
      </c>
      <c r="K91" s="253">
        <f t="shared" si="36"/>
        <v>0</v>
      </c>
      <c r="L91" s="253">
        <f t="shared" si="36"/>
        <v>168839</v>
      </c>
      <c r="M91" s="253"/>
      <c r="N91" s="253">
        <f t="shared" si="36"/>
        <v>0</v>
      </c>
      <c r="O91" s="253">
        <f t="shared" si="36"/>
        <v>168839</v>
      </c>
      <c r="P91" s="253">
        <f t="shared" si="36"/>
        <v>0</v>
      </c>
      <c r="Q91" s="253">
        <f t="shared" si="36"/>
        <v>35000</v>
      </c>
      <c r="R91" s="253">
        <f t="shared" si="36"/>
        <v>15000</v>
      </c>
      <c r="S91" s="253">
        <f t="shared" si="36"/>
        <v>0</v>
      </c>
      <c r="T91" s="253">
        <f t="shared" si="36"/>
        <v>20000</v>
      </c>
      <c r="U91" s="253">
        <f t="shared" si="36"/>
        <v>0</v>
      </c>
      <c r="V91" s="253">
        <f t="shared" si="36"/>
        <v>0</v>
      </c>
      <c r="W91" s="253">
        <f t="shared" si="36"/>
        <v>0</v>
      </c>
      <c r="X91" s="238">
        <v>0</v>
      </c>
      <c r="Y91" s="232">
        <f t="shared" si="2"/>
        <v>168839</v>
      </c>
      <c r="Z91" s="232">
        <f t="shared" si="35"/>
        <v>0</v>
      </c>
    </row>
    <row r="92" spans="1:26" s="281" customFormat="1" ht="63">
      <c r="A92" s="238"/>
      <c r="B92" s="280" t="s">
        <v>279</v>
      </c>
      <c r="C92" s="254" t="s">
        <v>155</v>
      </c>
      <c r="D92" s="254"/>
      <c r="E92" s="254"/>
      <c r="F92" s="254" t="s">
        <v>452</v>
      </c>
      <c r="G92" s="197">
        <v>433161</v>
      </c>
      <c r="H92" s="197">
        <v>0</v>
      </c>
      <c r="I92" s="197">
        <v>0</v>
      </c>
      <c r="J92" s="197">
        <v>433161</v>
      </c>
      <c r="K92" s="197">
        <v>0</v>
      </c>
      <c r="L92" s="197">
        <f>SUM(M92:P92)</f>
        <v>102884</v>
      </c>
      <c r="M92" s="197"/>
      <c r="N92" s="197">
        <v>0</v>
      </c>
      <c r="O92" s="197">
        <v>102884</v>
      </c>
      <c r="P92" s="197"/>
      <c r="Q92" s="181">
        <f>SUM(R92:W92)</f>
        <v>10000</v>
      </c>
      <c r="R92" s="197">
        <v>5000</v>
      </c>
      <c r="S92" s="197"/>
      <c r="T92" s="197">
        <v>5000</v>
      </c>
      <c r="U92" s="197">
        <v>0</v>
      </c>
      <c r="V92" s="197">
        <v>0</v>
      </c>
      <c r="W92" s="197">
        <v>0</v>
      </c>
      <c r="X92" s="238" t="s">
        <v>278</v>
      </c>
      <c r="Y92" s="232">
        <f t="shared" si="2"/>
        <v>102884</v>
      </c>
      <c r="Z92" s="232">
        <f t="shared" si="35"/>
        <v>0</v>
      </c>
    </row>
    <row r="93" spans="1:26" s="281" customFormat="1" ht="47.25">
      <c r="A93" s="238"/>
      <c r="B93" s="280" t="s">
        <v>280</v>
      </c>
      <c r="C93" s="254" t="s">
        <v>626</v>
      </c>
      <c r="D93" s="254"/>
      <c r="E93" s="254"/>
      <c r="F93" s="254" t="s">
        <v>453</v>
      </c>
      <c r="G93" s="197">
        <v>200000</v>
      </c>
      <c r="H93" s="197">
        <v>0</v>
      </c>
      <c r="I93" s="197">
        <v>0</v>
      </c>
      <c r="J93" s="197">
        <v>200000</v>
      </c>
      <c r="K93" s="197">
        <v>0</v>
      </c>
      <c r="L93" s="197">
        <f>SUM(M93:P93)</f>
        <v>65955</v>
      </c>
      <c r="M93" s="197"/>
      <c r="N93" s="197">
        <v>0</v>
      </c>
      <c r="O93" s="197">
        <v>65955</v>
      </c>
      <c r="P93" s="197"/>
      <c r="Q93" s="181">
        <f>SUM(R93:W93)</f>
        <v>25000</v>
      </c>
      <c r="R93" s="197">
        <v>10000</v>
      </c>
      <c r="S93" s="197"/>
      <c r="T93" s="197">
        <v>15000</v>
      </c>
      <c r="U93" s="197">
        <v>0</v>
      </c>
      <c r="V93" s="197">
        <v>0</v>
      </c>
      <c r="W93" s="197">
        <v>0</v>
      </c>
      <c r="X93" s="238" t="s">
        <v>278</v>
      </c>
      <c r="Y93" s="232">
        <f t="shared" si="2"/>
        <v>65955</v>
      </c>
      <c r="Z93" s="232">
        <f t="shared" si="35"/>
        <v>0</v>
      </c>
    </row>
    <row r="94" spans="1:26" s="298" customFormat="1" ht="31.5">
      <c r="A94" s="249">
        <v>6</v>
      </c>
      <c r="B94" s="199" t="s">
        <v>255</v>
      </c>
      <c r="C94" s="321">
        <v>0</v>
      </c>
      <c r="D94" s="321"/>
      <c r="E94" s="321"/>
      <c r="F94" s="321">
        <v>0</v>
      </c>
      <c r="G94" s="253">
        <f t="shared" ref="G94:W94" si="37">SUM(G95:G105)</f>
        <v>84800</v>
      </c>
      <c r="H94" s="253">
        <f t="shared" si="37"/>
        <v>0</v>
      </c>
      <c r="I94" s="253">
        <f t="shared" si="37"/>
        <v>0</v>
      </c>
      <c r="J94" s="253">
        <f t="shared" si="37"/>
        <v>47690</v>
      </c>
      <c r="K94" s="253">
        <f t="shared" si="37"/>
        <v>37110</v>
      </c>
      <c r="L94" s="253">
        <f t="shared" si="37"/>
        <v>21295</v>
      </c>
      <c r="M94" s="253">
        <f t="shared" si="37"/>
        <v>0</v>
      </c>
      <c r="N94" s="253">
        <f t="shared" si="37"/>
        <v>0</v>
      </c>
      <c r="O94" s="253">
        <f t="shared" si="37"/>
        <v>15000</v>
      </c>
      <c r="P94" s="253">
        <f t="shared" si="37"/>
        <v>6295</v>
      </c>
      <c r="Q94" s="253">
        <f t="shared" si="37"/>
        <v>21190</v>
      </c>
      <c r="R94" s="253">
        <f t="shared" si="37"/>
        <v>13080</v>
      </c>
      <c r="S94" s="253">
        <f t="shared" si="37"/>
        <v>0</v>
      </c>
      <c r="T94" s="253">
        <f t="shared" si="37"/>
        <v>8110</v>
      </c>
      <c r="U94" s="253">
        <f t="shared" si="37"/>
        <v>0</v>
      </c>
      <c r="V94" s="253">
        <f t="shared" si="37"/>
        <v>0</v>
      </c>
      <c r="W94" s="253">
        <f t="shared" si="37"/>
        <v>0</v>
      </c>
      <c r="X94" s="238">
        <v>0</v>
      </c>
      <c r="Y94" s="232">
        <f t="shared" ref="Y94:Y201" si="38">N94+O94+P94</f>
        <v>21295</v>
      </c>
      <c r="Z94" s="232">
        <f t="shared" si="35"/>
        <v>0</v>
      </c>
    </row>
    <row r="95" spans="1:26" s="281" customFormat="1" ht="34.9" customHeight="1">
      <c r="A95" s="254"/>
      <c r="B95" s="255" t="s">
        <v>627</v>
      </c>
      <c r="C95" s="238" t="s">
        <v>159</v>
      </c>
      <c r="D95" s="280"/>
      <c r="E95" s="280"/>
      <c r="F95" s="256" t="s">
        <v>628</v>
      </c>
      <c r="G95" s="197">
        <v>9500</v>
      </c>
      <c r="H95" s="197"/>
      <c r="I95" s="197"/>
      <c r="J95" s="197">
        <v>6110</v>
      </c>
      <c r="K95" s="197">
        <v>3390</v>
      </c>
      <c r="L95" s="197">
        <v>2015</v>
      </c>
      <c r="M95" s="197"/>
      <c r="N95" s="197"/>
      <c r="O95" s="197">
        <v>1000</v>
      </c>
      <c r="P95" s="197">
        <v>1015</v>
      </c>
      <c r="Q95" s="181">
        <f>SUM(R95:W95)</f>
        <v>5110</v>
      </c>
      <c r="R95" s="197">
        <v>2000</v>
      </c>
      <c r="S95" s="197"/>
      <c r="T95" s="197">
        <v>3110</v>
      </c>
      <c r="U95" s="197"/>
      <c r="V95" s="197"/>
      <c r="W95" s="197"/>
      <c r="X95" s="288" t="s">
        <v>255</v>
      </c>
      <c r="Y95" s="232"/>
      <c r="Z95" s="232"/>
    </row>
    <row r="96" spans="1:26" s="281" customFormat="1" ht="34.9" customHeight="1">
      <c r="A96" s="254"/>
      <c r="B96" s="255" t="s">
        <v>629</v>
      </c>
      <c r="C96" s="238" t="s">
        <v>159</v>
      </c>
      <c r="D96" s="280"/>
      <c r="E96" s="280"/>
      <c r="F96" s="256" t="s">
        <v>630</v>
      </c>
      <c r="G96" s="197">
        <v>1500</v>
      </c>
      <c r="H96" s="197"/>
      <c r="I96" s="197"/>
      <c r="J96" s="197">
        <v>975</v>
      </c>
      <c r="K96" s="197">
        <v>525</v>
      </c>
      <c r="L96" s="197">
        <v>500</v>
      </c>
      <c r="M96" s="197"/>
      <c r="N96" s="197"/>
      <c r="O96" s="197">
        <v>500</v>
      </c>
      <c r="P96" s="197"/>
      <c r="Q96" s="181">
        <f t="shared" ref="Q96:Q105" si="39">SUM(R96:W96)</f>
        <v>475</v>
      </c>
      <c r="R96" s="197">
        <v>475</v>
      </c>
      <c r="S96" s="197"/>
      <c r="T96" s="197"/>
      <c r="U96" s="197"/>
      <c r="V96" s="197"/>
      <c r="W96" s="197"/>
      <c r="X96" s="288" t="s">
        <v>255</v>
      </c>
      <c r="Y96" s="232"/>
      <c r="Z96" s="232"/>
    </row>
    <row r="97" spans="1:26" s="281" customFormat="1" ht="34.9" customHeight="1">
      <c r="A97" s="254"/>
      <c r="B97" s="255" t="s">
        <v>631</v>
      </c>
      <c r="C97" s="238" t="s">
        <v>159</v>
      </c>
      <c r="D97" s="280"/>
      <c r="E97" s="280"/>
      <c r="F97" s="256" t="s">
        <v>632</v>
      </c>
      <c r="G97" s="197">
        <v>4500</v>
      </c>
      <c r="H97" s="197"/>
      <c r="I97" s="197"/>
      <c r="J97" s="197">
        <v>2925</v>
      </c>
      <c r="K97" s="197">
        <v>1575</v>
      </c>
      <c r="L97" s="197">
        <v>2130</v>
      </c>
      <c r="M97" s="197"/>
      <c r="N97" s="197"/>
      <c r="O97" s="197">
        <v>1500</v>
      </c>
      <c r="P97" s="197">
        <v>630</v>
      </c>
      <c r="Q97" s="181">
        <f t="shared" si="39"/>
        <v>1425</v>
      </c>
      <c r="R97" s="197">
        <v>1425</v>
      </c>
      <c r="S97" s="197"/>
      <c r="T97" s="197"/>
      <c r="U97" s="197"/>
      <c r="V97" s="197"/>
      <c r="W97" s="197"/>
      <c r="X97" s="288" t="s">
        <v>255</v>
      </c>
      <c r="Y97" s="232"/>
      <c r="Z97" s="232"/>
    </row>
    <row r="98" spans="1:26" s="281" customFormat="1" ht="34.9" customHeight="1">
      <c r="A98" s="254"/>
      <c r="B98" s="255" t="s">
        <v>633</v>
      </c>
      <c r="C98" s="238" t="s">
        <v>159</v>
      </c>
      <c r="D98" s="280"/>
      <c r="E98" s="280"/>
      <c r="F98" s="260" t="s">
        <v>634</v>
      </c>
      <c r="G98" s="197">
        <v>3400</v>
      </c>
      <c r="H98" s="197"/>
      <c r="I98" s="197"/>
      <c r="J98" s="197">
        <v>1820</v>
      </c>
      <c r="K98" s="197">
        <v>1580</v>
      </c>
      <c r="L98" s="197">
        <v>1600</v>
      </c>
      <c r="M98" s="197"/>
      <c r="N98" s="197"/>
      <c r="O98" s="197">
        <v>1000</v>
      </c>
      <c r="P98" s="197">
        <v>600</v>
      </c>
      <c r="Q98" s="181">
        <f t="shared" si="39"/>
        <v>820</v>
      </c>
      <c r="R98" s="197">
        <v>820</v>
      </c>
      <c r="S98" s="197"/>
      <c r="T98" s="197"/>
      <c r="U98" s="197"/>
      <c r="V98" s="197"/>
      <c r="W98" s="197"/>
      <c r="X98" s="288" t="s">
        <v>255</v>
      </c>
      <c r="Y98" s="232"/>
      <c r="Z98" s="232"/>
    </row>
    <row r="99" spans="1:26" s="281" customFormat="1" ht="34.9" customHeight="1">
      <c r="A99" s="254"/>
      <c r="B99" s="255" t="s">
        <v>635</v>
      </c>
      <c r="C99" s="238" t="s">
        <v>159</v>
      </c>
      <c r="D99" s="280"/>
      <c r="E99" s="280"/>
      <c r="F99" s="260" t="s">
        <v>636</v>
      </c>
      <c r="G99" s="197">
        <v>4500</v>
      </c>
      <c r="H99" s="197"/>
      <c r="I99" s="197"/>
      <c r="J99" s="197">
        <v>1950</v>
      </c>
      <c r="K99" s="197">
        <v>2550</v>
      </c>
      <c r="L99" s="197">
        <v>1800</v>
      </c>
      <c r="M99" s="197"/>
      <c r="N99" s="197"/>
      <c r="O99" s="197">
        <v>1000</v>
      </c>
      <c r="P99" s="197">
        <v>800</v>
      </c>
      <c r="Q99" s="181">
        <f t="shared" si="39"/>
        <v>950</v>
      </c>
      <c r="R99" s="197">
        <v>950</v>
      </c>
      <c r="S99" s="197"/>
      <c r="T99" s="197"/>
      <c r="U99" s="197"/>
      <c r="V99" s="197"/>
      <c r="W99" s="197"/>
      <c r="X99" s="288" t="s">
        <v>255</v>
      </c>
      <c r="Y99" s="232"/>
      <c r="Z99" s="232"/>
    </row>
    <row r="100" spans="1:26" s="281" customFormat="1" ht="34.9" customHeight="1">
      <c r="A100" s="254"/>
      <c r="B100" s="255" t="s">
        <v>637</v>
      </c>
      <c r="C100" s="238" t="s">
        <v>159</v>
      </c>
      <c r="D100" s="280"/>
      <c r="E100" s="280"/>
      <c r="F100" s="260" t="s">
        <v>638</v>
      </c>
      <c r="G100" s="197">
        <v>4300</v>
      </c>
      <c r="H100" s="197"/>
      <c r="I100" s="197"/>
      <c r="J100" s="197">
        <v>2795</v>
      </c>
      <c r="K100" s="197">
        <v>1505</v>
      </c>
      <c r="L100" s="197">
        <v>2200</v>
      </c>
      <c r="M100" s="197"/>
      <c r="N100" s="197"/>
      <c r="O100" s="197">
        <v>1500</v>
      </c>
      <c r="P100" s="197">
        <v>700</v>
      </c>
      <c r="Q100" s="181">
        <f t="shared" si="39"/>
        <v>1295</v>
      </c>
      <c r="R100" s="197">
        <v>1295</v>
      </c>
      <c r="S100" s="197"/>
      <c r="T100" s="197"/>
      <c r="U100" s="197"/>
      <c r="V100" s="197"/>
      <c r="W100" s="197"/>
      <c r="X100" s="288" t="s">
        <v>255</v>
      </c>
      <c r="Y100" s="232"/>
      <c r="Z100" s="232"/>
    </row>
    <row r="101" spans="1:26" s="281" customFormat="1" ht="34.9" customHeight="1">
      <c r="A101" s="254"/>
      <c r="B101" s="255" t="s">
        <v>639</v>
      </c>
      <c r="C101" s="238" t="s">
        <v>159</v>
      </c>
      <c r="D101" s="280"/>
      <c r="E101" s="280"/>
      <c r="F101" s="260" t="s">
        <v>640</v>
      </c>
      <c r="G101" s="197">
        <v>2800</v>
      </c>
      <c r="H101" s="197"/>
      <c r="I101" s="197"/>
      <c r="J101" s="197">
        <v>1820</v>
      </c>
      <c r="K101" s="197">
        <v>980</v>
      </c>
      <c r="L101" s="197">
        <v>1450</v>
      </c>
      <c r="M101" s="197"/>
      <c r="N101" s="197"/>
      <c r="O101" s="197">
        <v>1000</v>
      </c>
      <c r="P101" s="197">
        <v>450</v>
      </c>
      <c r="Q101" s="181">
        <f t="shared" si="39"/>
        <v>820</v>
      </c>
      <c r="R101" s="197">
        <v>820</v>
      </c>
      <c r="S101" s="197"/>
      <c r="T101" s="197"/>
      <c r="U101" s="197"/>
      <c r="V101" s="197"/>
      <c r="W101" s="197"/>
      <c r="X101" s="288" t="s">
        <v>255</v>
      </c>
      <c r="Y101" s="232"/>
      <c r="Z101" s="232"/>
    </row>
    <row r="102" spans="1:26" s="281" customFormat="1" ht="34.9" customHeight="1">
      <c r="A102" s="254"/>
      <c r="B102" s="255" t="s">
        <v>641</v>
      </c>
      <c r="C102" s="238" t="s">
        <v>159</v>
      </c>
      <c r="D102" s="280"/>
      <c r="E102" s="280"/>
      <c r="F102" s="260" t="s">
        <v>642</v>
      </c>
      <c r="G102" s="197">
        <v>4800</v>
      </c>
      <c r="H102" s="197"/>
      <c r="I102" s="197"/>
      <c r="J102" s="197">
        <v>3120</v>
      </c>
      <c r="K102" s="197">
        <v>1680</v>
      </c>
      <c r="L102" s="197">
        <v>2100</v>
      </c>
      <c r="M102" s="197"/>
      <c r="N102" s="197"/>
      <c r="O102" s="197">
        <v>1400</v>
      </c>
      <c r="P102" s="197">
        <v>700</v>
      </c>
      <c r="Q102" s="181">
        <f t="shared" si="39"/>
        <v>1720</v>
      </c>
      <c r="R102" s="197">
        <v>1720</v>
      </c>
      <c r="S102" s="197"/>
      <c r="T102" s="197"/>
      <c r="U102" s="197"/>
      <c r="V102" s="197"/>
      <c r="W102" s="197"/>
      <c r="X102" s="288" t="s">
        <v>255</v>
      </c>
      <c r="Y102" s="232"/>
      <c r="Z102" s="232"/>
    </row>
    <row r="103" spans="1:26" s="281" customFormat="1" ht="34.9" customHeight="1">
      <c r="A103" s="254"/>
      <c r="B103" s="255" t="s">
        <v>643</v>
      </c>
      <c r="C103" s="238" t="s">
        <v>159</v>
      </c>
      <c r="D103" s="280"/>
      <c r="E103" s="280"/>
      <c r="F103" s="260" t="s">
        <v>644</v>
      </c>
      <c r="G103" s="197">
        <v>4200</v>
      </c>
      <c r="H103" s="197"/>
      <c r="I103" s="197"/>
      <c r="J103" s="197">
        <v>2730</v>
      </c>
      <c r="K103" s="197">
        <v>1470</v>
      </c>
      <c r="L103" s="197">
        <v>1600</v>
      </c>
      <c r="M103" s="197"/>
      <c r="N103" s="197"/>
      <c r="O103" s="197">
        <v>1000</v>
      </c>
      <c r="P103" s="197">
        <v>600</v>
      </c>
      <c r="Q103" s="181">
        <f t="shared" si="39"/>
        <v>1730</v>
      </c>
      <c r="R103" s="197">
        <v>1730</v>
      </c>
      <c r="S103" s="197"/>
      <c r="T103" s="197"/>
      <c r="U103" s="197"/>
      <c r="V103" s="197"/>
      <c r="W103" s="197"/>
      <c r="X103" s="288" t="s">
        <v>255</v>
      </c>
      <c r="Y103" s="232"/>
      <c r="Z103" s="232"/>
    </row>
    <row r="104" spans="1:26" s="281" customFormat="1" ht="34.9" customHeight="1">
      <c r="A104" s="254"/>
      <c r="B104" s="255" t="s">
        <v>645</v>
      </c>
      <c r="C104" s="238" t="s">
        <v>159</v>
      </c>
      <c r="D104" s="280"/>
      <c r="E104" s="280"/>
      <c r="F104" s="260" t="s">
        <v>646</v>
      </c>
      <c r="G104" s="197">
        <v>5300</v>
      </c>
      <c r="H104" s="197"/>
      <c r="I104" s="197"/>
      <c r="J104" s="197">
        <v>3445</v>
      </c>
      <c r="K104" s="197">
        <v>1855</v>
      </c>
      <c r="L104" s="197">
        <v>2400</v>
      </c>
      <c r="M104" s="197"/>
      <c r="N104" s="197"/>
      <c r="O104" s="197">
        <v>1600</v>
      </c>
      <c r="P104" s="197">
        <v>800</v>
      </c>
      <c r="Q104" s="181">
        <f t="shared" si="39"/>
        <v>1845</v>
      </c>
      <c r="R104" s="197">
        <v>1845</v>
      </c>
      <c r="S104" s="197"/>
      <c r="T104" s="197"/>
      <c r="U104" s="197"/>
      <c r="V104" s="197"/>
      <c r="W104" s="197"/>
      <c r="X104" s="288" t="s">
        <v>255</v>
      </c>
      <c r="Y104" s="232"/>
      <c r="Z104" s="232"/>
    </row>
    <row r="105" spans="1:26" s="281" customFormat="1" ht="53.45" customHeight="1">
      <c r="A105" s="254"/>
      <c r="B105" s="278" t="s">
        <v>163</v>
      </c>
      <c r="C105" s="238" t="s">
        <v>159</v>
      </c>
      <c r="D105" s="280"/>
      <c r="E105" s="280"/>
      <c r="F105" s="256" t="s">
        <v>454</v>
      </c>
      <c r="G105" s="197">
        <v>40000</v>
      </c>
      <c r="H105" s="197"/>
      <c r="I105" s="197"/>
      <c r="J105" s="197">
        <v>20000</v>
      </c>
      <c r="K105" s="197">
        <v>20000</v>
      </c>
      <c r="L105" s="197">
        <v>3500</v>
      </c>
      <c r="M105" s="197"/>
      <c r="N105" s="197"/>
      <c r="O105" s="197">
        <v>3500</v>
      </c>
      <c r="P105" s="197"/>
      <c r="Q105" s="181">
        <f t="shared" si="39"/>
        <v>5000</v>
      </c>
      <c r="R105" s="197"/>
      <c r="S105" s="197"/>
      <c r="T105" s="197">
        <v>5000</v>
      </c>
      <c r="U105" s="197"/>
      <c r="V105" s="197"/>
      <c r="W105" s="197"/>
      <c r="X105" s="288" t="s">
        <v>255</v>
      </c>
      <c r="Y105" s="232"/>
      <c r="Z105" s="232"/>
    </row>
    <row r="106" spans="1:26" s="298" customFormat="1" ht="31.5">
      <c r="A106" s="249">
        <v>7</v>
      </c>
      <c r="B106" s="199" t="s">
        <v>283</v>
      </c>
      <c r="C106" s="321">
        <v>0</v>
      </c>
      <c r="D106" s="321"/>
      <c r="E106" s="321"/>
      <c r="F106" s="321">
        <v>0</v>
      </c>
      <c r="G106" s="253">
        <f>G107</f>
        <v>60000</v>
      </c>
      <c r="H106" s="253">
        <f t="shared" ref="H106:W106" si="40">H107</f>
        <v>0</v>
      </c>
      <c r="I106" s="253">
        <f t="shared" si="40"/>
        <v>0</v>
      </c>
      <c r="J106" s="253">
        <f t="shared" si="40"/>
        <v>60000</v>
      </c>
      <c r="K106" s="253">
        <f t="shared" si="40"/>
        <v>0</v>
      </c>
      <c r="L106" s="253">
        <f t="shared" si="40"/>
        <v>16887</v>
      </c>
      <c r="M106" s="253">
        <f t="shared" si="40"/>
        <v>0</v>
      </c>
      <c r="N106" s="253">
        <f t="shared" si="40"/>
        <v>0</v>
      </c>
      <c r="O106" s="253">
        <f t="shared" si="40"/>
        <v>16887</v>
      </c>
      <c r="P106" s="253">
        <f t="shared" si="40"/>
        <v>0</v>
      </c>
      <c r="Q106" s="253">
        <f t="shared" si="40"/>
        <v>2246</v>
      </c>
      <c r="R106" s="253">
        <f t="shared" si="40"/>
        <v>0</v>
      </c>
      <c r="S106" s="253">
        <f t="shared" si="40"/>
        <v>0</v>
      </c>
      <c r="T106" s="253">
        <f t="shared" si="40"/>
        <v>2246</v>
      </c>
      <c r="U106" s="253">
        <f t="shared" si="40"/>
        <v>0</v>
      </c>
      <c r="V106" s="253">
        <f t="shared" si="40"/>
        <v>0</v>
      </c>
      <c r="W106" s="253">
        <f t="shared" si="40"/>
        <v>0</v>
      </c>
      <c r="X106" s="238">
        <v>0</v>
      </c>
      <c r="Y106" s="232">
        <f t="shared" si="38"/>
        <v>16887</v>
      </c>
      <c r="Z106" s="232">
        <f t="shared" ref="Z106:Z112" si="41">L106-Y106</f>
        <v>0</v>
      </c>
    </row>
    <row r="107" spans="1:26" s="281" customFormat="1" ht="31.5">
      <c r="A107" s="238"/>
      <c r="B107" s="326" t="s">
        <v>285</v>
      </c>
      <c r="C107" s="327" t="s">
        <v>167</v>
      </c>
      <c r="D107" s="254"/>
      <c r="E107" s="254"/>
      <c r="F107" s="256" t="s">
        <v>352</v>
      </c>
      <c r="G107" s="197">
        <v>60000</v>
      </c>
      <c r="H107" s="197"/>
      <c r="I107" s="197"/>
      <c r="J107" s="197">
        <v>60000</v>
      </c>
      <c r="K107" s="197"/>
      <c r="L107" s="197">
        <v>16887</v>
      </c>
      <c r="M107" s="197"/>
      <c r="N107" s="197">
        <v>0</v>
      </c>
      <c r="O107" s="197">
        <v>16887</v>
      </c>
      <c r="P107" s="197"/>
      <c r="Q107" s="181">
        <f>SUM(R107:W107)</f>
        <v>2246</v>
      </c>
      <c r="R107" s="197"/>
      <c r="S107" s="197"/>
      <c r="T107" s="197">
        <v>2246</v>
      </c>
      <c r="U107" s="197">
        <v>0</v>
      </c>
      <c r="V107" s="197">
        <v>0</v>
      </c>
      <c r="W107" s="197">
        <v>0</v>
      </c>
      <c r="X107" s="238" t="s">
        <v>283</v>
      </c>
      <c r="Y107" s="232">
        <f t="shared" si="38"/>
        <v>16887</v>
      </c>
      <c r="Z107" s="232">
        <f t="shared" si="41"/>
        <v>0</v>
      </c>
    </row>
    <row r="108" spans="1:26" s="298" customFormat="1" ht="31.5">
      <c r="A108" s="249">
        <v>8</v>
      </c>
      <c r="B108" s="199" t="s">
        <v>286</v>
      </c>
      <c r="C108" s="321">
        <v>0</v>
      </c>
      <c r="D108" s="321"/>
      <c r="E108" s="321"/>
      <c r="F108" s="321">
        <v>0</v>
      </c>
      <c r="G108" s="253">
        <f t="shared" ref="G108:L108" si="42">SUM(G109:G109)</f>
        <v>65000</v>
      </c>
      <c r="H108" s="253">
        <f t="shared" si="42"/>
        <v>0</v>
      </c>
      <c r="I108" s="253">
        <f t="shared" si="42"/>
        <v>0</v>
      </c>
      <c r="J108" s="253">
        <f t="shared" si="42"/>
        <v>32500</v>
      </c>
      <c r="K108" s="253">
        <f t="shared" si="42"/>
        <v>32500</v>
      </c>
      <c r="L108" s="253">
        <f t="shared" si="42"/>
        <v>55320</v>
      </c>
      <c r="M108" s="253"/>
      <c r="N108" s="253">
        <f t="shared" ref="N108:W108" si="43">SUM(N109:N109)</f>
        <v>0</v>
      </c>
      <c r="O108" s="253">
        <f t="shared" si="43"/>
        <v>22820</v>
      </c>
      <c r="P108" s="253">
        <f t="shared" si="43"/>
        <v>32500</v>
      </c>
      <c r="Q108" s="253">
        <f t="shared" si="43"/>
        <v>9680</v>
      </c>
      <c r="R108" s="253">
        <f t="shared" si="43"/>
        <v>5000</v>
      </c>
      <c r="S108" s="253">
        <f t="shared" si="43"/>
        <v>0</v>
      </c>
      <c r="T108" s="253">
        <f t="shared" si="43"/>
        <v>4680</v>
      </c>
      <c r="U108" s="253">
        <f t="shared" si="43"/>
        <v>0</v>
      </c>
      <c r="V108" s="253">
        <f t="shared" si="43"/>
        <v>0</v>
      </c>
      <c r="W108" s="253">
        <f t="shared" si="43"/>
        <v>0</v>
      </c>
      <c r="X108" s="238">
        <v>0</v>
      </c>
      <c r="Y108" s="232">
        <f t="shared" si="38"/>
        <v>55320</v>
      </c>
      <c r="Z108" s="232">
        <f t="shared" si="41"/>
        <v>0</v>
      </c>
    </row>
    <row r="109" spans="1:26" s="281" customFormat="1" ht="63">
      <c r="A109" s="238"/>
      <c r="B109" s="324" t="s">
        <v>164</v>
      </c>
      <c r="C109" s="260" t="s">
        <v>162</v>
      </c>
      <c r="D109" s="254"/>
      <c r="E109" s="254"/>
      <c r="F109" s="260" t="s">
        <v>165</v>
      </c>
      <c r="G109" s="197">
        <v>65000</v>
      </c>
      <c r="H109" s="197"/>
      <c r="I109" s="197"/>
      <c r="J109" s="197">
        <v>32500</v>
      </c>
      <c r="K109" s="197">
        <v>32500</v>
      </c>
      <c r="L109" s="197">
        <v>55320</v>
      </c>
      <c r="M109" s="197"/>
      <c r="N109" s="197"/>
      <c r="O109" s="197">
        <v>22820</v>
      </c>
      <c r="P109" s="197">
        <v>32500</v>
      </c>
      <c r="Q109" s="181">
        <f>SUM(R109:W109)</f>
        <v>9680</v>
      </c>
      <c r="R109" s="197">
        <v>5000</v>
      </c>
      <c r="S109" s="197"/>
      <c r="T109" s="197">
        <v>4680</v>
      </c>
      <c r="U109" s="197"/>
      <c r="V109" s="197">
        <v>0</v>
      </c>
      <c r="W109" s="197">
        <v>0</v>
      </c>
      <c r="X109" s="238" t="s">
        <v>286</v>
      </c>
      <c r="Y109" s="232">
        <f t="shared" si="38"/>
        <v>55320</v>
      </c>
      <c r="Z109" s="232">
        <f t="shared" si="41"/>
        <v>0</v>
      </c>
    </row>
    <row r="110" spans="1:26" s="298" customFormat="1" ht="31.5">
      <c r="A110" s="249">
        <v>9</v>
      </c>
      <c r="B110" s="199" t="s">
        <v>288</v>
      </c>
      <c r="C110" s="321">
        <v>0</v>
      </c>
      <c r="D110" s="321"/>
      <c r="E110" s="321"/>
      <c r="F110" s="321">
        <v>0</v>
      </c>
      <c r="G110" s="253">
        <f>G111</f>
        <v>148000</v>
      </c>
      <c r="H110" s="253">
        <f t="shared" ref="H110:W110" si="44">H111</f>
        <v>0</v>
      </c>
      <c r="I110" s="253">
        <f t="shared" si="44"/>
        <v>0</v>
      </c>
      <c r="J110" s="253">
        <f t="shared" si="44"/>
        <v>128000</v>
      </c>
      <c r="K110" s="253">
        <f t="shared" si="44"/>
        <v>20000</v>
      </c>
      <c r="L110" s="253">
        <f t="shared" si="44"/>
        <v>78786</v>
      </c>
      <c r="M110" s="253"/>
      <c r="N110" s="253">
        <f t="shared" si="44"/>
        <v>0</v>
      </c>
      <c r="O110" s="253">
        <f t="shared" si="44"/>
        <v>68786</v>
      </c>
      <c r="P110" s="253">
        <f t="shared" si="44"/>
        <v>10000</v>
      </c>
      <c r="Q110" s="253">
        <f t="shared" si="44"/>
        <v>20000</v>
      </c>
      <c r="R110" s="253">
        <f t="shared" si="44"/>
        <v>15000</v>
      </c>
      <c r="S110" s="253">
        <f t="shared" si="44"/>
        <v>0</v>
      </c>
      <c r="T110" s="253">
        <f t="shared" si="44"/>
        <v>5000</v>
      </c>
      <c r="U110" s="253">
        <f t="shared" si="44"/>
        <v>0</v>
      </c>
      <c r="V110" s="253">
        <f t="shared" si="44"/>
        <v>0</v>
      </c>
      <c r="W110" s="253">
        <f t="shared" si="44"/>
        <v>0</v>
      </c>
      <c r="X110" s="238">
        <v>0</v>
      </c>
      <c r="Y110" s="232">
        <f t="shared" si="38"/>
        <v>78786</v>
      </c>
      <c r="Z110" s="232">
        <f t="shared" si="41"/>
        <v>0</v>
      </c>
    </row>
    <row r="111" spans="1:26" s="281" customFormat="1" ht="31.5">
      <c r="A111" s="238"/>
      <c r="B111" s="280" t="s">
        <v>412</v>
      </c>
      <c r="C111" s="254" t="s">
        <v>166</v>
      </c>
      <c r="D111" s="254"/>
      <c r="E111" s="254"/>
      <c r="F111" s="254" t="s">
        <v>459</v>
      </c>
      <c r="G111" s="197">
        <v>148000</v>
      </c>
      <c r="H111" s="197">
        <v>0</v>
      </c>
      <c r="I111" s="197">
        <v>0</v>
      </c>
      <c r="J111" s="197">
        <v>128000</v>
      </c>
      <c r="K111" s="197">
        <v>20000</v>
      </c>
      <c r="L111" s="197">
        <f>SUM(M111:P111)</f>
        <v>78786</v>
      </c>
      <c r="M111" s="197"/>
      <c r="N111" s="197">
        <v>0</v>
      </c>
      <c r="O111" s="197">
        <v>68786</v>
      </c>
      <c r="P111" s="197">
        <v>10000</v>
      </c>
      <c r="Q111" s="181">
        <f>SUM(R111:W111)</f>
        <v>20000</v>
      </c>
      <c r="R111" s="197">
        <v>15000</v>
      </c>
      <c r="S111" s="197">
        <v>0</v>
      </c>
      <c r="T111" s="197">
        <v>5000</v>
      </c>
      <c r="U111" s="197">
        <v>0</v>
      </c>
      <c r="V111" s="197">
        <v>0</v>
      </c>
      <c r="W111" s="197">
        <v>0</v>
      </c>
      <c r="X111" s="238" t="s">
        <v>288</v>
      </c>
      <c r="Y111" s="232">
        <f t="shared" si="38"/>
        <v>78786</v>
      </c>
      <c r="Z111" s="232">
        <f t="shared" si="41"/>
        <v>0</v>
      </c>
    </row>
    <row r="112" spans="1:26" s="298" customFormat="1" ht="31.5">
      <c r="A112" s="249">
        <v>10</v>
      </c>
      <c r="B112" s="199" t="s">
        <v>647</v>
      </c>
      <c r="C112" s="321">
        <v>0</v>
      </c>
      <c r="D112" s="321"/>
      <c r="E112" s="321"/>
      <c r="F112" s="321">
        <v>0</v>
      </c>
      <c r="G112" s="253">
        <f>G113</f>
        <v>220000</v>
      </c>
      <c r="H112" s="253">
        <f t="shared" ref="H112:W112" si="45">H113</f>
        <v>0</v>
      </c>
      <c r="I112" s="253">
        <f t="shared" si="45"/>
        <v>0</v>
      </c>
      <c r="J112" s="253">
        <f t="shared" si="45"/>
        <v>220000</v>
      </c>
      <c r="K112" s="253">
        <f t="shared" si="45"/>
        <v>0</v>
      </c>
      <c r="L112" s="253">
        <f t="shared" si="45"/>
        <v>38637</v>
      </c>
      <c r="M112" s="253"/>
      <c r="N112" s="253">
        <f t="shared" si="45"/>
        <v>0</v>
      </c>
      <c r="O112" s="253">
        <f t="shared" si="45"/>
        <v>38637</v>
      </c>
      <c r="P112" s="253">
        <f t="shared" si="45"/>
        <v>0</v>
      </c>
      <c r="Q112" s="253">
        <f t="shared" si="45"/>
        <v>10000</v>
      </c>
      <c r="R112" s="253">
        <f t="shared" si="45"/>
        <v>5000</v>
      </c>
      <c r="S112" s="253">
        <f t="shared" si="45"/>
        <v>0</v>
      </c>
      <c r="T112" s="253">
        <f t="shared" si="45"/>
        <v>5000</v>
      </c>
      <c r="U112" s="253">
        <f t="shared" si="45"/>
        <v>0</v>
      </c>
      <c r="V112" s="253">
        <f t="shared" si="45"/>
        <v>0</v>
      </c>
      <c r="W112" s="253">
        <f t="shared" si="45"/>
        <v>0</v>
      </c>
      <c r="X112" s="238">
        <v>0</v>
      </c>
      <c r="Y112" s="232">
        <f t="shared" si="38"/>
        <v>38637</v>
      </c>
      <c r="Z112" s="232">
        <f t="shared" si="41"/>
        <v>0</v>
      </c>
    </row>
    <row r="113" spans="1:26" s="281" customFormat="1" ht="93" customHeight="1">
      <c r="A113" s="238"/>
      <c r="B113" s="324" t="s">
        <v>648</v>
      </c>
      <c r="C113" s="260" t="s">
        <v>156</v>
      </c>
      <c r="D113" s="254"/>
      <c r="E113" s="254"/>
      <c r="F113" s="260" t="s">
        <v>460</v>
      </c>
      <c r="G113" s="197">
        <v>220000</v>
      </c>
      <c r="H113" s="197"/>
      <c r="I113" s="197"/>
      <c r="J113" s="197">
        <v>220000</v>
      </c>
      <c r="K113" s="197"/>
      <c r="L113" s="197">
        <v>38637</v>
      </c>
      <c r="M113" s="197"/>
      <c r="N113" s="197"/>
      <c r="O113" s="197">
        <v>38637</v>
      </c>
      <c r="P113" s="197"/>
      <c r="Q113" s="181">
        <f>SUM(R113:W113)</f>
        <v>10000</v>
      </c>
      <c r="R113" s="197">
        <v>5000</v>
      </c>
      <c r="S113" s="197"/>
      <c r="T113" s="197">
        <v>5000</v>
      </c>
      <c r="U113" s="197"/>
      <c r="V113" s="197"/>
      <c r="W113" s="197"/>
      <c r="X113" s="238" t="s">
        <v>647</v>
      </c>
      <c r="Y113" s="232"/>
      <c r="Z113" s="232"/>
    </row>
    <row r="114" spans="1:26" s="298" customFormat="1" ht="31.5">
      <c r="A114" s="249">
        <v>11</v>
      </c>
      <c r="B114" s="199" t="s">
        <v>292</v>
      </c>
      <c r="C114" s="321">
        <v>0</v>
      </c>
      <c r="D114" s="321"/>
      <c r="E114" s="321"/>
      <c r="F114" s="321">
        <v>0</v>
      </c>
      <c r="G114" s="253">
        <f t="shared" ref="G114:L114" si="46">SUM(G115:G116)</f>
        <v>150000</v>
      </c>
      <c r="H114" s="253">
        <f t="shared" si="46"/>
        <v>0</v>
      </c>
      <c r="I114" s="253">
        <f t="shared" si="46"/>
        <v>0</v>
      </c>
      <c r="J114" s="253">
        <f t="shared" si="46"/>
        <v>150000</v>
      </c>
      <c r="K114" s="253">
        <f t="shared" si="46"/>
        <v>0</v>
      </c>
      <c r="L114" s="253">
        <f t="shared" si="46"/>
        <v>1284</v>
      </c>
      <c r="M114" s="253"/>
      <c r="N114" s="253">
        <f t="shared" ref="N114:W114" si="47">SUM(N115:N116)</f>
        <v>0</v>
      </c>
      <c r="O114" s="253">
        <f t="shared" si="47"/>
        <v>1284</v>
      </c>
      <c r="P114" s="253">
        <f t="shared" si="47"/>
        <v>0</v>
      </c>
      <c r="Q114" s="253">
        <f t="shared" si="47"/>
        <v>20000</v>
      </c>
      <c r="R114" s="253">
        <f t="shared" si="47"/>
        <v>4000</v>
      </c>
      <c r="S114" s="253">
        <f t="shared" si="47"/>
        <v>0</v>
      </c>
      <c r="T114" s="253">
        <f t="shared" si="47"/>
        <v>16000</v>
      </c>
      <c r="U114" s="253">
        <f t="shared" si="47"/>
        <v>0</v>
      </c>
      <c r="V114" s="253">
        <f t="shared" si="47"/>
        <v>0</v>
      </c>
      <c r="W114" s="253">
        <f t="shared" si="47"/>
        <v>0</v>
      </c>
      <c r="X114" s="238">
        <v>0</v>
      </c>
      <c r="Y114" s="232">
        <f t="shared" si="38"/>
        <v>1284</v>
      </c>
      <c r="Z114" s="232">
        <f t="shared" ref="Z114:Z169" si="48">L114-Y114</f>
        <v>0</v>
      </c>
    </row>
    <row r="115" spans="1:26" s="281" customFormat="1" ht="47.25">
      <c r="A115" s="238"/>
      <c r="B115" s="255" t="s">
        <v>416</v>
      </c>
      <c r="C115" s="238" t="s">
        <v>649</v>
      </c>
      <c r="D115" s="254"/>
      <c r="E115" s="254"/>
      <c r="F115" s="256" t="s">
        <v>463</v>
      </c>
      <c r="G115" s="197">
        <v>75000</v>
      </c>
      <c r="H115" s="197"/>
      <c r="I115" s="197"/>
      <c r="J115" s="197">
        <v>75000</v>
      </c>
      <c r="K115" s="197"/>
      <c r="L115" s="197">
        <v>682</v>
      </c>
      <c r="M115" s="197"/>
      <c r="N115" s="197"/>
      <c r="O115" s="197">
        <v>682</v>
      </c>
      <c r="P115" s="197"/>
      <c r="Q115" s="181">
        <f>SUM(R115:W115)</f>
        <v>10000</v>
      </c>
      <c r="R115" s="197">
        <v>2000</v>
      </c>
      <c r="S115" s="197"/>
      <c r="T115" s="197">
        <v>8000</v>
      </c>
      <c r="U115" s="197">
        <v>0</v>
      </c>
      <c r="V115" s="197">
        <v>0</v>
      </c>
      <c r="W115" s="197">
        <v>0</v>
      </c>
      <c r="X115" s="238" t="s">
        <v>292</v>
      </c>
      <c r="Y115" s="232">
        <f t="shared" si="38"/>
        <v>682</v>
      </c>
      <c r="Z115" s="232">
        <f t="shared" si="48"/>
        <v>0</v>
      </c>
    </row>
    <row r="116" spans="1:26" s="281" customFormat="1" ht="47.25">
      <c r="A116" s="238"/>
      <c r="B116" s="255" t="s">
        <v>417</v>
      </c>
      <c r="C116" s="238" t="s">
        <v>649</v>
      </c>
      <c r="D116" s="254"/>
      <c r="E116" s="254"/>
      <c r="F116" s="256" t="s">
        <v>464</v>
      </c>
      <c r="G116" s="197">
        <v>75000</v>
      </c>
      <c r="H116" s="197"/>
      <c r="I116" s="197"/>
      <c r="J116" s="197">
        <v>75000</v>
      </c>
      <c r="K116" s="197"/>
      <c r="L116" s="197">
        <v>602</v>
      </c>
      <c r="M116" s="197"/>
      <c r="N116" s="197"/>
      <c r="O116" s="197">
        <v>602</v>
      </c>
      <c r="P116" s="197"/>
      <c r="Q116" s="181">
        <f>SUM(R116:W116)</f>
        <v>10000</v>
      </c>
      <c r="R116" s="197">
        <v>2000</v>
      </c>
      <c r="S116" s="197"/>
      <c r="T116" s="197">
        <v>8000</v>
      </c>
      <c r="U116" s="197">
        <v>0</v>
      </c>
      <c r="V116" s="197">
        <v>0</v>
      </c>
      <c r="W116" s="197">
        <v>0</v>
      </c>
      <c r="X116" s="238" t="s">
        <v>292</v>
      </c>
      <c r="Y116" s="232">
        <f t="shared" si="38"/>
        <v>602</v>
      </c>
      <c r="Z116" s="232">
        <f t="shared" si="48"/>
        <v>0</v>
      </c>
    </row>
    <row r="117" spans="1:26" s="298" customFormat="1" ht="29.45" customHeight="1">
      <c r="A117" s="249">
        <v>12</v>
      </c>
      <c r="B117" s="199" t="s">
        <v>650</v>
      </c>
      <c r="C117" s="321"/>
      <c r="D117" s="321"/>
      <c r="E117" s="321"/>
      <c r="F117" s="321"/>
      <c r="G117" s="253">
        <f t="shared" ref="G117:X117" si="49">G118+G145+G149</f>
        <v>1011683</v>
      </c>
      <c r="H117" s="253">
        <f t="shared" si="49"/>
        <v>0</v>
      </c>
      <c r="I117" s="253">
        <f t="shared" si="49"/>
        <v>892394</v>
      </c>
      <c r="J117" s="253">
        <f t="shared" si="49"/>
        <v>28090</v>
      </c>
      <c r="K117" s="253">
        <f t="shared" si="49"/>
        <v>91199</v>
      </c>
      <c r="L117" s="253">
        <f t="shared" si="49"/>
        <v>440968</v>
      </c>
      <c r="M117" s="253">
        <f t="shared" si="49"/>
        <v>0</v>
      </c>
      <c r="N117" s="253">
        <f t="shared" si="49"/>
        <v>410085</v>
      </c>
      <c r="O117" s="253">
        <f t="shared" si="49"/>
        <v>9774</v>
      </c>
      <c r="P117" s="253">
        <f t="shared" si="49"/>
        <v>21109</v>
      </c>
      <c r="Q117" s="253">
        <f t="shared" si="49"/>
        <v>306149</v>
      </c>
      <c r="R117" s="253">
        <f t="shared" si="49"/>
        <v>16231</v>
      </c>
      <c r="S117" s="253">
        <f t="shared" si="49"/>
        <v>0</v>
      </c>
      <c r="T117" s="253">
        <f t="shared" si="49"/>
        <v>0</v>
      </c>
      <c r="U117" s="253">
        <f t="shared" si="49"/>
        <v>289918</v>
      </c>
      <c r="V117" s="253">
        <f t="shared" si="49"/>
        <v>0</v>
      </c>
      <c r="W117" s="253">
        <f t="shared" si="49"/>
        <v>0</v>
      </c>
      <c r="X117" s="253">
        <f t="shared" si="49"/>
        <v>0</v>
      </c>
      <c r="Y117" s="232"/>
      <c r="Z117" s="232"/>
    </row>
    <row r="118" spans="1:26" s="298" customFormat="1" ht="59.45" customHeight="1">
      <c r="A118" s="249" t="s">
        <v>651</v>
      </c>
      <c r="B118" s="199" t="s">
        <v>512</v>
      </c>
      <c r="C118" s="321"/>
      <c r="D118" s="321"/>
      <c r="E118" s="321"/>
      <c r="F118" s="321"/>
      <c r="G118" s="253">
        <f>G119+G122+G126+G130+G134+G138+G142+G140</f>
        <v>570580</v>
      </c>
      <c r="H118" s="253">
        <f t="shared" ref="H118:U118" si="50">H119+H122+H126+H130+H134+H138+H142+H140</f>
        <v>0</v>
      </c>
      <c r="I118" s="253">
        <f t="shared" si="50"/>
        <v>520337</v>
      </c>
      <c r="J118" s="253">
        <f t="shared" si="50"/>
        <v>9551</v>
      </c>
      <c r="K118" s="253">
        <f t="shared" si="50"/>
        <v>40692</v>
      </c>
      <c r="L118" s="253">
        <f t="shared" si="50"/>
        <v>258247</v>
      </c>
      <c r="M118" s="253">
        <f t="shared" si="50"/>
        <v>0</v>
      </c>
      <c r="N118" s="253">
        <f t="shared" si="50"/>
        <v>240323</v>
      </c>
      <c r="O118" s="253">
        <f t="shared" si="50"/>
        <v>230</v>
      </c>
      <c r="P118" s="253">
        <f t="shared" si="50"/>
        <v>17694</v>
      </c>
      <c r="Q118" s="253">
        <f t="shared" si="50"/>
        <v>182668</v>
      </c>
      <c r="R118" s="253">
        <f t="shared" si="50"/>
        <v>7632</v>
      </c>
      <c r="S118" s="253">
        <f t="shared" si="50"/>
        <v>0</v>
      </c>
      <c r="T118" s="253">
        <f t="shared" si="50"/>
        <v>0</v>
      </c>
      <c r="U118" s="253">
        <f t="shared" si="50"/>
        <v>175036</v>
      </c>
      <c r="V118" s="253">
        <f t="shared" ref="V118:W118" si="51">V119+V122+V126+V130+V134+V138+V142</f>
        <v>0</v>
      </c>
      <c r="W118" s="253">
        <f t="shared" si="51"/>
        <v>0</v>
      </c>
      <c r="X118" s="321"/>
      <c r="Y118" s="232"/>
      <c r="Z118" s="232"/>
    </row>
    <row r="119" spans="1:26" s="298" customFormat="1" ht="29.45" customHeight="1">
      <c r="A119" s="249" t="s">
        <v>652</v>
      </c>
      <c r="B119" s="302" t="s">
        <v>145</v>
      </c>
      <c r="C119" s="321"/>
      <c r="D119" s="321"/>
      <c r="E119" s="321"/>
      <c r="F119" s="321"/>
      <c r="G119" s="253">
        <f>SUM(G120:G121)</f>
        <v>137123</v>
      </c>
      <c r="H119" s="253">
        <f t="shared" ref="H119:W119" si="52">SUM(H120:H121)</f>
        <v>0</v>
      </c>
      <c r="I119" s="253">
        <f t="shared" si="52"/>
        <v>126055</v>
      </c>
      <c r="J119" s="253">
        <f t="shared" si="52"/>
        <v>7793</v>
      </c>
      <c r="K119" s="253">
        <f t="shared" si="52"/>
        <v>3275</v>
      </c>
      <c r="L119" s="253">
        <f t="shared" si="52"/>
        <v>39537</v>
      </c>
      <c r="M119" s="253">
        <f t="shared" si="52"/>
        <v>0</v>
      </c>
      <c r="N119" s="253">
        <f t="shared" si="52"/>
        <v>39207</v>
      </c>
      <c r="O119" s="253">
        <f t="shared" si="52"/>
        <v>230</v>
      </c>
      <c r="P119" s="253">
        <f t="shared" si="52"/>
        <v>100</v>
      </c>
      <c r="Q119" s="253">
        <f t="shared" si="52"/>
        <v>50712</v>
      </c>
      <c r="R119" s="253">
        <f t="shared" si="52"/>
        <v>6961</v>
      </c>
      <c r="S119" s="253">
        <f t="shared" si="52"/>
        <v>0</v>
      </c>
      <c r="T119" s="253">
        <f t="shared" si="52"/>
        <v>0</v>
      </c>
      <c r="U119" s="253">
        <f>SUM(U120:U121)</f>
        <v>43751</v>
      </c>
      <c r="V119" s="253">
        <f t="shared" si="52"/>
        <v>0</v>
      </c>
      <c r="W119" s="253">
        <f t="shared" si="52"/>
        <v>0</v>
      </c>
      <c r="X119" s="321"/>
      <c r="Y119" s="232"/>
      <c r="Z119" s="232"/>
    </row>
    <row r="120" spans="1:26" s="281" customFormat="1" ht="54.6" customHeight="1">
      <c r="A120" s="266"/>
      <c r="B120" s="203" t="s">
        <v>653</v>
      </c>
      <c r="C120" s="238"/>
      <c r="D120" s="238"/>
      <c r="E120" s="238"/>
      <c r="F120" s="238"/>
      <c r="G120" s="197">
        <f>SUM(H120:K120)</f>
        <v>9520</v>
      </c>
      <c r="H120" s="197"/>
      <c r="I120" s="197">
        <v>9520</v>
      </c>
      <c r="J120" s="197"/>
      <c r="K120" s="197"/>
      <c r="L120" s="197">
        <f>SUM(M120:P120)</f>
        <v>3240</v>
      </c>
      <c r="M120" s="197"/>
      <c r="N120" s="197">
        <v>3240</v>
      </c>
      <c r="O120" s="197"/>
      <c r="P120" s="197"/>
      <c r="Q120" s="197">
        <f>SUM(R120:W120)</f>
        <v>6280</v>
      </c>
      <c r="R120" s="197"/>
      <c r="S120" s="197"/>
      <c r="T120" s="197"/>
      <c r="U120" s="197">
        <v>6280</v>
      </c>
      <c r="V120" s="197"/>
      <c r="W120" s="197"/>
      <c r="X120" s="300" t="s">
        <v>527</v>
      </c>
      <c r="Y120" s="232"/>
      <c r="Z120" s="232"/>
    </row>
    <row r="121" spans="1:26" s="281" customFormat="1" ht="102.6" customHeight="1">
      <c r="A121" s="266"/>
      <c r="B121" s="203" t="s">
        <v>654</v>
      </c>
      <c r="C121" s="238"/>
      <c r="D121" s="238"/>
      <c r="E121" s="238"/>
      <c r="F121" s="238"/>
      <c r="G121" s="197">
        <f>SUM(H121:K121)</f>
        <v>127603</v>
      </c>
      <c r="H121" s="197"/>
      <c r="I121" s="197">
        <v>116535</v>
      </c>
      <c r="J121" s="197">
        <v>7793</v>
      </c>
      <c r="K121" s="197">
        <v>3275</v>
      </c>
      <c r="L121" s="197">
        <f>SUM(M121:P121)</f>
        <v>36297</v>
      </c>
      <c r="M121" s="197"/>
      <c r="N121" s="197">
        <v>35967</v>
      </c>
      <c r="O121" s="197">
        <v>230</v>
      </c>
      <c r="P121" s="197">
        <v>100</v>
      </c>
      <c r="Q121" s="197">
        <f>SUM(R121:W121)</f>
        <v>44432</v>
      </c>
      <c r="R121" s="197">
        <v>6961</v>
      </c>
      <c r="S121" s="197"/>
      <c r="T121" s="197"/>
      <c r="U121" s="197">
        <v>37471</v>
      </c>
      <c r="V121" s="197"/>
      <c r="W121" s="197"/>
      <c r="X121" s="238" t="s">
        <v>288</v>
      </c>
      <c r="Y121" s="232"/>
      <c r="Z121" s="232"/>
    </row>
    <row r="122" spans="1:26" s="328" customFormat="1" ht="43.15" customHeight="1">
      <c r="A122" s="273" t="s">
        <v>655</v>
      </c>
      <c r="B122" s="293" t="s">
        <v>144</v>
      </c>
      <c r="C122" s="251"/>
      <c r="D122" s="251"/>
      <c r="E122" s="251"/>
      <c r="F122" s="251"/>
      <c r="G122" s="253">
        <f>SUM(G123:G125)</f>
        <v>76936</v>
      </c>
      <c r="H122" s="253">
        <f t="shared" ref="H122:W122" si="53">SUM(H123:H125)</f>
        <v>0</v>
      </c>
      <c r="I122" s="253">
        <f t="shared" si="53"/>
        <v>73851</v>
      </c>
      <c r="J122" s="253">
        <f t="shared" si="53"/>
        <v>1758</v>
      </c>
      <c r="K122" s="253">
        <f t="shared" si="53"/>
        <v>1327</v>
      </c>
      <c r="L122" s="253">
        <f t="shared" si="53"/>
        <v>50252</v>
      </c>
      <c r="M122" s="253">
        <f t="shared" si="53"/>
        <v>0</v>
      </c>
      <c r="N122" s="253">
        <f t="shared" si="53"/>
        <v>50252</v>
      </c>
      <c r="O122" s="253">
        <f t="shared" si="53"/>
        <v>0</v>
      </c>
      <c r="P122" s="253">
        <f t="shared" si="53"/>
        <v>0</v>
      </c>
      <c r="Q122" s="253">
        <f t="shared" si="53"/>
        <v>22275</v>
      </c>
      <c r="R122" s="253">
        <f t="shared" si="53"/>
        <v>671</v>
      </c>
      <c r="S122" s="253">
        <f t="shared" si="53"/>
        <v>0</v>
      </c>
      <c r="T122" s="253">
        <f t="shared" si="53"/>
        <v>0</v>
      </c>
      <c r="U122" s="253">
        <f>SUM(U123:U125)</f>
        <v>21604</v>
      </c>
      <c r="V122" s="253">
        <f t="shared" si="53"/>
        <v>0</v>
      </c>
      <c r="W122" s="253">
        <f t="shared" si="53"/>
        <v>0</v>
      </c>
      <c r="X122" s="302"/>
      <c r="Y122" s="277"/>
      <c r="Z122" s="277"/>
    </row>
    <row r="123" spans="1:26" s="281" customFormat="1" ht="63" customHeight="1">
      <c r="A123" s="266"/>
      <c r="B123" s="203" t="s">
        <v>656</v>
      </c>
      <c r="C123" s="238"/>
      <c r="D123" s="238"/>
      <c r="E123" s="238"/>
      <c r="F123" s="238"/>
      <c r="G123" s="197">
        <f>SUM(H123:K123)</f>
        <v>15240</v>
      </c>
      <c r="H123" s="197"/>
      <c r="I123" s="197">
        <v>15240</v>
      </c>
      <c r="J123" s="197"/>
      <c r="K123" s="197"/>
      <c r="L123" s="197">
        <f>SUM(M123:P123)</f>
        <v>8440</v>
      </c>
      <c r="M123" s="197"/>
      <c r="N123" s="197">
        <v>8440</v>
      </c>
      <c r="O123" s="197"/>
      <c r="P123" s="197"/>
      <c r="Q123" s="197">
        <f>SUM(R123:W123)</f>
        <v>6800</v>
      </c>
      <c r="R123" s="197"/>
      <c r="S123" s="197"/>
      <c r="T123" s="197"/>
      <c r="U123" s="197">
        <v>6800</v>
      </c>
      <c r="V123" s="197"/>
      <c r="W123" s="197"/>
      <c r="X123" s="300" t="s">
        <v>282</v>
      </c>
      <c r="Y123" s="232"/>
      <c r="Z123" s="232"/>
    </row>
    <row r="124" spans="1:26" s="281" customFormat="1" ht="66.599999999999994" customHeight="1">
      <c r="A124" s="266"/>
      <c r="B124" s="203" t="s">
        <v>657</v>
      </c>
      <c r="C124" s="238"/>
      <c r="D124" s="238"/>
      <c r="E124" s="238"/>
      <c r="F124" s="238"/>
      <c r="G124" s="197">
        <f>SUM(H124:K124)</f>
        <v>4990</v>
      </c>
      <c r="H124" s="197"/>
      <c r="I124" s="197">
        <v>4740</v>
      </c>
      <c r="J124" s="197">
        <v>142</v>
      </c>
      <c r="K124" s="197">
        <v>108</v>
      </c>
      <c r="L124" s="197">
        <f>SUM(M124:P124)</f>
        <v>1733</v>
      </c>
      <c r="M124" s="197"/>
      <c r="N124" s="197">
        <v>1733</v>
      </c>
      <c r="O124" s="197"/>
      <c r="P124" s="197"/>
      <c r="Q124" s="197">
        <f>SUM(R124:W124)</f>
        <v>3149</v>
      </c>
      <c r="R124" s="197">
        <v>142</v>
      </c>
      <c r="S124" s="197"/>
      <c r="T124" s="197"/>
      <c r="U124" s="197">
        <v>3007</v>
      </c>
      <c r="V124" s="197"/>
      <c r="W124" s="197"/>
      <c r="X124" s="238" t="s">
        <v>283</v>
      </c>
      <c r="Y124" s="232"/>
      <c r="Z124" s="232"/>
    </row>
    <row r="125" spans="1:26" s="281" customFormat="1" ht="109.9" customHeight="1">
      <c r="A125" s="266"/>
      <c r="B125" s="203" t="s">
        <v>654</v>
      </c>
      <c r="C125" s="238"/>
      <c r="D125" s="238"/>
      <c r="E125" s="238"/>
      <c r="F125" s="238"/>
      <c r="G125" s="197">
        <f>SUM(H125:K125)</f>
        <v>56706</v>
      </c>
      <c r="H125" s="197"/>
      <c r="I125" s="197">
        <v>53871</v>
      </c>
      <c r="J125" s="197">
        <v>1616</v>
      </c>
      <c r="K125" s="197">
        <v>1219</v>
      </c>
      <c r="L125" s="197">
        <f>SUM(M125:P125)</f>
        <v>40079</v>
      </c>
      <c r="M125" s="197"/>
      <c r="N125" s="197">
        <v>40079</v>
      </c>
      <c r="O125" s="197"/>
      <c r="P125" s="197"/>
      <c r="Q125" s="197">
        <f>SUM(R125:W125)</f>
        <v>12326</v>
      </c>
      <c r="R125" s="197">
        <v>529</v>
      </c>
      <c r="S125" s="197"/>
      <c r="T125" s="197"/>
      <c r="U125" s="197">
        <v>11797</v>
      </c>
      <c r="V125" s="197"/>
      <c r="W125" s="197"/>
      <c r="X125" s="238" t="s">
        <v>283</v>
      </c>
      <c r="Y125" s="232"/>
      <c r="Z125" s="232"/>
    </row>
    <row r="126" spans="1:26" s="328" customFormat="1" ht="43.15" customHeight="1">
      <c r="A126" s="273" t="s">
        <v>658</v>
      </c>
      <c r="B126" s="293" t="s">
        <v>143</v>
      </c>
      <c r="C126" s="251"/>
      <c r="D126" s="251"/>
      <c r="E126" s="251"/>
      <c r="F126" s="251"/>
      <c r="G126" s="253">
        <f>SUM(G127:G129)</f>
        <v>37390</v>
      </c>
      <c r="H126" s="253">
        <f t="shared" ref="H126:W126" si="54">SUM(H127:H129)</f>
        <v>0</v>
      </c>
      <c r="I126" s="253">
        <f t="shared" si="54"/>
        <v>35050</v>
      </c>
      <c r="J126" s="253">
        <f t="shared" si="54"/>
        <v>0</v>
      </c>
      <c r="K126" s="253">
        <f t="shared" si="54"/>
        <v>2340</v>
      </c>
      <c r="L126" s="253">
        <f t="shared" si="54"/>
        <v>8709</v>
      </c>
      <c r="M126" s="253">
        <f t="shared" si="54"/>
        <v>0</v>
      </c>
      <c r="N126" s="253">
        <f t="shared" si="54"/>
        <v>8709</v>
      </c>
      <c r="O126" s="253">
        <f t="shared" si="54"/>
        <v>0</v>
      </c>
      <c r="P126" s="253">
        <f t="shared" si="54"/>
        <v>0</v>
      </c>
      <c r="Q126" s="253">
        <f t="shared" si="54"/>
        <v>16596</v>
      </c>
      <c r="R126" s="253">
        <f t="shared" si="54"/>
        <v>0</v>
      </c>
      <c r="S126" s="253">
        <f t="shared" si="54"/>
        <v>0</v>
      </c>
      <c r="T126" s="253">
        <f t="shared" si="54"/>
        <v>0</v>
      </c>
      <c r="U126" s="253">
        <f>SUM(U127:U129)</f>
        <v>16596</v>
      </c>
      <c r="V126" s="253">
        <f t="shared" si="54"/>
        <v>0</v>
      </c>
      <c r="W126" s="253">
        <f t="shared" si="54"/>
        <v>0</v>
      </c>
      <c r="X126" s="302"/>
      <c r="Y126" s="277"/>
      <c r="Z126" s="277"/>
    </row>
    <row r="127" spans="1:26" s="281" customFormat="1" ht="61.9" customHeight="1">
      <c r="A127" s="266"/>
      <c r="B127" s="203" t="s">
        <v>656</v>
      </c>
      <c r="C127" s="238"/>
      <c r="D127" s="238"/>
      <c r="E127" s="238"/>
      <c r="F127" s="238"/>
      <c r="G127" s="197">
        <f>SUM(H127:K127)</f>
        <v>8800</v>
      </c>
      <c r="H127" s="197"/>
      <c r="I127" s="197">
        <v>7800</v>
      </c>
      <c r="J127" s="197"/>
      <c r="K127" s="197">
        <v>1000</v>
      </c>
      <c r="L127" s="197">
        <f>SUM(M127:P127)</f>
        <v>3400</v>
      </c>
      <c r="M127" s="197"/>
      <c r="N127" s="197">
        <v>3400</v>
      </c>
      <c r="O127" s="197"/>
      <c r="P127" s="197"/>
      <c r="Q127" s="197">
        <f>SUM(R127:W127)</f>
        <v>4400</v>
      </c>
      <c r="R127" s="197"/>
      <c r="S127" s="197"/>
      <c r="T127" s="197"/>
      <c r="U127" s="197">
        <v>4400</v>
      </c>
      <c r="V127" s="197"/>
      <c r="W127" s="197"/>
      <c r="X127" s="300" t="s">
        <v>528</v>
      </c>
      <c r="Y127" s="232"/>
      <c r="Z127" s="232"/>
    </row>
    <row r="128" spans="1:26" s="281" customFormat="1" ht="75.599999999999994" customHeight="1">
      <c r="A128" s="266"/>
      <c r="B128" s="203" t="s">
        <v>657</v>
      </c>
      <c r="C128" s="238"/>
      <c r="D128" s="238"/>
      <c r="E128" s="238"/>
      <c r="F128" s="238"/>
      <c r="G128" s="197">
        <f>SUM(H128:K128)</f>
        <v>1500</v>
      </c>
      <c r="H128" s="197"/>
      <c r="I128" s="197">
        <v>1500</v>
      </c>
      <c r="J128" s="197"/>
      <c r="K128" s="197"/>
      <c r="L128" s="197">
        <f>SUM(M128:P128)</f>
        <v>500</v>
      </c>
      <c r="M128" s="197"/>
      <c r="N128" s="197">
        <v>500</v>
      </c>
      <c r="O128" s="197"/>
      <c r="P128" s="197"/>
      <c r="Q128" s="197">
        <f>SUM(R128:W128)</f>
        <v>1000</v>
      </c>
      <c r="R128" s="197"/>
      <c r="S128" s="197"/>
      <c r="T128" s="197"/>
      <c r="U128" s="197">
        <v>1000</v>
      </c>
      <c r="V128" s="197"/>
      <c r="W128" s="197"/>
      <c r="X128" s="300" t="s">
        <v>281</v>
      </c>
      <c r="Y128" s="232"/>
      <c r="Z128" s="232"/>
    </row>
    <row r="129" spans="1:26" s="281" customFormat="1" ht="109.15" customHeight="1">
      <c r="A129" s="266"/>
      <c r="B129" s="203" t="s">
        <v>654</v>
      </c>
      <c r="C129" s="238"/>
      <c r="D129" s="238"/>
      <c r="E129" s="238"/>
      <c r="F129" s="238"/>
      <c r="G129" s="197">
        <f>SUM(H129:K129)</f>
        <v>27090</v>
      </c>
      <c r="H129" s="197"/>
      <c r="I129" s="197">
        <v>25750</v>
      </c>
      <c r="J129" s="197"/>
      <c r="K129" s="197">
        <v>1340</v>
      </c>
      <c r="L129" s="197">
        <f>SUM(M129:P129)</f>
        <v>4809</v>
      </c>
      <c r="M129" s="197"/>
      <c r="N129" s="197">
        <v>4809</v>
      </c>
      <c r="O129" s="197"/>
      <c r="P129" s="197"/>
      <c r="Q129" s="197">
        <f>SUM(R129:W129)</f>
        <v>11196</v>
      </c>
      <c r="R129" s="197"/>
      <c r="S129" s="197"/>
      <c r="T129" s="197"/>
      <c r="U129" s="197">
        <v>11196</v>
      </c>
      <c r="V129" s="197"/>
      <c r="W129" s="197"/>
      <c r="X129" s="300" t="s">
        <v>281</v>
      </c>
      <c r="Y129" s="232"/>
      <c r="Z129" s="232"/>
    </row>
    <row r="130" spans="1:26" s="328" customFormat="1" ht="60.6" customHeight="1">
      <c r="A130" s="273" t="s">
        <v>659</v>
      </c>
      <c r="B130" s="293" t="s">
        <v>141</v>
      </c>
      <c r="C130" s="251"/>
      <c r="D130" s="251"/>
      <c r="E130" s="251"/>
      <c r="F130" s="251"/>
      <c r="G130" s="253">
        <f>SUM(G131:G133)</f>
        <v>153378</v>
      </c>
      <c r="H130" s="253">
        <f t="shared" ref="H130:W130" si="55">SUM(H131:H133)</f>
        <v>0</v>
      </c>
      <c r="I130" s="253">
        <f t="shared" si="55"/>
        <v>134928</v>
      </c>
      <c r="J130" s="253">
        <f t="shared" si="55"/>
        <v>0</v>
      </c>
      <c r="K130" s="253">
        <f t="shared" si="55"/>
        <v>18450</v>
      </c>
      <c r="L130" s="253">
        <f t="shared" si="55"/>
        <v>71092</v>
      </c>
      <c r="M130" s="253">
        <f t="shared" si="55"/>
        <v>0</v>
      </c>
      <c r="N130" s="253">
        <f t="shared" si="55"/>
        <v>62341</v>
      </c>
      <c r="O130" s="253">
        <f t="shared" si="55"/>
        <v>0</v>
      </c>
      <c r="P130" s="253">
        <f t="shared" si="55"/>
        <v>8751</v>
      </c>
      <c r="Q130" s="253">
        <f t="shared" si="55"/>
        <v>43948</v>
      </c>
      <c r="R130" s="253">
        <f t="shared" si="55"/>
        <v>0</v>
      </c>
      <c r="S130" s="253">
        <f t="shared" si="55"/>
        <v>0</v>
      </c>
      <c r="T130" s="253">
        <f t="shared" si="55"/>
        <v>0</v>
      </c>
      <c r="U130" s="253">
        <f t="shared" si="55"/>
        <v>43948</v>
      </c>
      <c r="V130" s="253">
        <f t="shared" si="55"/>
        <v>0</v>
      </c>
      <c r="W130" s="253">
        <f t="shared" si="55"/>
        <v>0</v>
      </c>
      <c r="X130" s="302"/>
      <c r="Y130" s="277"/>
      <c r="Z130" s="277"/>
    </row>
    <row r="131" spans="1:26" s="281" customFormat="1" ht="60.6" customHeight="1">
      <c r="A131" s="266"/>
      <c r="B131" s="203" t="s">
        <v>656</v>
      </c>
      <c r="C131" s="238"/>
      <c r="D131" s="238"/>
      <c r="E131" s="238"/>
      <c r="F131" s="238"/>
      <c r="G131" s="197">
        <f>SUM(H131:K131)</f>
        <v>7723</v>
      </c>
      <c r="H131" s="197"/>
      <c r="I131" s="197">
        <v>7723</v>
      </c>
      <c r="J131" s="197"/>
      <c r="K131" s="197"/>
      <c r="L131" s="197">
        <f>SUM(M131:P131)</f>
        <v>6040</v>
      </c>
      <c r="M131" s="197"/>
      <c r="N131" s="197">
        <v>6040</v>
      </c>
      <c r="O131" s="197"/>
      <c r="P131" s="197"/>
      <c r="Q131" s="197">
        <f>SUM(R131:W131)</f>
        <v>1683</v>
      </c>
      <c r="R131" s="197"/>
      <c r="S131" s="197"/>
      <c r="T131" s="197"/>
      <c r="U131" s="197">
        <v>1683</v>
      </c>
      <c r="V131" s="197"/>
      <c r="W131" s="197"/>
      <c r="X131" s="300" t="s">
        <v>529</v>
      </c>
      <c r="Y131" s="232"/>
      <c r="Z131" s="232"/>
    </row>
    <row r="132" spans="1:26" s="281" customFormat="1" ht="60.6" customHeight="1">
      <c r="A132" s="266"/>
      <c r="B132" s="203" t="s">
        <v>657</v>
      </c>
      <c r="C132" s="238"/>
      <c r="D132" s="238"/>
      <c r="E132" s="238"/>
      <c r="F132" s="238"/>
      <c r="G132" s="197">
        <f>SUM(H132:K132)</f>
        <v>4000</v>
      </c>
      <c r="H132" s="197"/>
      <c r="I132" s="197">
        <v>3800</v>
      </c>
      <c r="J132" s="197"/>
      <c r="K132" s="197">
        <v>200</v>
      </c>
      <c r="L132" s="197">
        <f>SUM(M132:P132)</f>
        <v>1200</v>
      </c>
      <c r="M132" s="197"/>
      <c r="N132" s="197">
        <v>1000</v>
      </c>
      <c r="O132" s="197"/>
      <c r="P132" s="197">
        <v>200</v>
      </c>
      <c r="Q132" s="197">
        <f>SUM(R132:W132)</f>
        <v>1500</v>
      </c>
      <c r="R132" s="197"/>
      <c r="S132" s="197"/>
      <c r="T132" s="197"/>
      <c r="U132" s="197">
        <v>1500</v>
      </c>
      <c r="V132" s="197"/>
      <c r="W132" s="197"/>
      <c r="X132" s="300" t="s">
        <v>258</v>
      </c>
      <c r="Y132" s="232"/>
      <c r="Z132" s="232"/>
    </row>
    <row r="133" spans="1:26" s="281" customFormat="1" ht="106.15" customHeight="1">
      <c r="A133" s="266"/>
      <c r="B133" s="203" t="s">
        <v>654</v>
      </c>
      <c r="C133" s="238"/>
      <c r="D133" s="238"/>
      <c r="E133" s="238"/>
      <c r="F133" s="238"/>
      <c r="G133" s="197">
        <f>SUM(H133:K133)</f>
        <v>141655</v>
      </c>
      <c r="H133" s="197"/>
      <c r="I133" s="197">
        <v>123405</v>
      </c>
      <c r="J133" s="197"/>
      <c r="K133" s="197">
        <v>18250</v>
      </c>
      <c r="L133" s="197">
        <f>SUM(M133:P133)</f>
        <v>63852</v>
      </c>
      <c r="M133" s="197"/>
      <c r="N133" s="197">
        <v>55301</v>
      </c>
      <c r="O133" s="197"/>
      <c r="P133" s="197">
        <v>8551</v>
      </c>
      <c r="Q133" s="197">
        <f>SUM(R133:W133)</f>
        <v>40765</v>
      </c>
      <c r="R133" s="197"/>
      <c r="S133" s="197"/>
      <c r="T133" s="197"/>
      <c r="U133" s="197">
        <v>40765</v>
      </c>
      <c r="V133" s="197"/>
      <c r="W133" s="197"/>
      <c r="X133" s="300" t="s">
        <v>258</v>
      </c>
      <c r="Y133" s="232"/>
      <c r="Z133" s="232"/>
    </row>
    <row r="134" spans="1:26" s="328" customFormat="1" ht="58.9" customHeight="1">
      <c r="A134" s="273" t="s">
        <v>660</v>
      </c>
      <c r="B134" s="293" t="s">
        <v>142</v>
      </c>
      <c r="C134" s="251"/>
      <c r="D134" s="251"/>
      <c r="E134" s="251"/>
      <c r="F134" s="251"/>
      <c r="G134" s="253">
        <f>SUM(G135:G137)</f>
        <v>95488</v>
      </c>
      <c r="H134" s="253">
        <f t="shared" ref="H134:W134" si="56">SUM(H135:H137)</f>
        <v>0</v>
      </c>
      <c r="I134" s="253">
        <f t="shared" si="56"/>
        <v>88038</v>
      </c>
      <c r="J134" s="253">
        <f t="shared" si="56"/>
        <v>0</v>
      </c>
      <c r="K134" s="253">
        <f t="shared" si="56"/>
        <v>7450</v>
      </c>
      <c r="L134" s="253">
        <f t="shared" si="56"/>
        <v>50988</v>
      </c>
      <c r="M134" s="253">
        <f t="shared" si="56"/>
        <v>0</v>
      </c>
      <c r="N134" s="253">
        <f t="shared" si="56"/>
        <v>43760</v>
      </c>
      <c r="O134" s="253">
        <f t="shared" si="56"/>
        <v>0</v>
      </c>
      <c r="P134" s="253">
        <f t="shared" si="56"/>
        <v>7228</v>
      </c>
      <c r="Q134" s="253">
        <f t="shared" si="56"/>
        <v>25361</v>
      </c>
      <c r="R134" s="253">
        <f t="shared" si="56"/>
        <v>0</v>
      </c>
      <c r="S134" s="253">
        <f t="shared" si="56"/>
        <v>0</v>
      </c>
      <c r="T134" s="253">
        <f t="shared" si="56"/>
        <v>0</v>
      </c>
      <c r="U134" s="253">
        <f>SUM(U135:U137)</f>
        <v>25361</v>
      </c>
      <c r="V134" s="253">
        <f t="shared" si="56"/>
        <v>0</v>
      </c>
      <c r="W134" s="253">
        <f t="shared" si="56"/>
        <v>0</v>
      </c>
      <c r="X134" s="302"/>
      <c r="Y134" s="277"/>
      <c r="Z134" s="277"/>
    </row>
    <row r="135" spans="1:26" s="281" customFormat="1" ht="58.9" customHeight="1">
      <c r="A135" s="266"/>
      <c r="B135" s="203" t="s">
        <v>656</v>
      </c>
      <c r="C135" s="238"/>
      <c r="D135" s="238"/>
      <c r="E135" s="238"/>
      <c r="F135" s="238"/>
      <c r="G135" s="197">
        <f>SUM(H135:K135)</f>
        <v>9440</v>
      </c>
      <c r="H135" s="197"/>
      <c r="I135" s="197">
        <v>9440</v>
      </c>
      <c r="J135" s="197"/>
      <c r="K135" s="197"/>
      <c r="L135" s="197">
        <f>SUM(M135:P135)</f>
        <v>4000</v>
      </c>
      <c r="M135" s="197"/>
      <c r="N135" s="197">
        <v>4000</v>
      </c>
      <c r="O135" s="197"/>
      <c r="P135" s="197"/>
      <c r="Q135" s="197">
        <f>SUM(R135:W135)</f>
        <v>5440</v>
      </c>
      <c r="R135" s="197"/>
      <c r="S135" s="197"/>
      <c r="T135" s="197"/>
      <c r="U135" s="197">
        <v>5440</v>
      </c>
      <c r="V135" s="197"/>
      <c r="W135" s="197"/>
      <c r="X135" s="300" t="s">
        <v>530</v>
      </c>
      <c r="Y135" s="232"/>
      <c r="Z135" s="232"/>
    </row>
    <row r="136" spans="1:26" s="281" customFormat="1" ht="58.9" customHeight="1">
      <c r="A136" s="266"/>
      <c r="B136" s="203" t="s">
        <v>657</v>
      </c>
      <c r="C136" s="238"/>
      <c r="D136" s="238"/>
      <c r="E136" s="238"/>
      <c r="F136" s="238"/>
      <c r="G136" s="197">
        <f>SUM(H136:K136)</f>
        <v>5200</v>
      </c>
      <c r="H136" s="197"/>
      <c r="I136" s="197">
        <v>1805</v>
      </c>
      <c r="J136" s="197"/>
      <c r="K136" s="197">
        <v>3395</v>
      </c>
      <c r="L136" s="197">
        <f>SUM(M136:P136)</f>
        <v>3737</v>
      </c>
      <c r="M136" s="197"/>
      <c r="N136" s="197">
        <v>342</v>
      </c>
      <c r="O136" s="197"/>
      <c r="P136" s="197">
        <v>3395</v>
      </c>
      <c r="Q136" s="197">
        <f>SUM(R136:W136)</f>
        <v>1463</v>
      </c>
      <c r="R136" s="197"/>
      <c r="S136" s="197"/>
      <c r="T136" s="197"/>
      <c r="U136" s="197">
        <v>1463</v>
      </c>
      <c r="V136" s="197"/>
      <c r="W136" s="197"/>
      <c r="X136" s="238" t="s">
        <v>286</v>
      </c>
      <c r="Y136" s="232"/>
      <c r="Z136" s="232"/>
    </row>
    <row r="137" spans="1:26" s="281" customFormat="1" ht="95.45" customHeight="1">
      <c r="A137" s="266"/>
      <c r="B137" s="203" t="s">
        <v>654</v>
      </c>
      <c r="C137" s="238"/>
      <c r="D137" s="238"/>
      <c r="E137" s="238"/>
      <c r="F137" s="238"/>
      <c r="G137" s="197">
        <f>SUM(H137:K137)</f>
        <v>80848</v>
      </c>
      <c r="H137" s="197"/>
      <c r="I137" s="197">
        <v>76793</v>
      </c>
      <c r="J137" s="197"/>
      <c r="K137" s="197">
        <v>4055</v>
      </c>
      <c r="L137" s="197">
        <f>SUM(M137:P137)</f>
        <v>43251</v>
      </c>
      <c r="M137" s="197"/>
      <c r="N137" s="197">
        <v>39418</v>
      </c>
      <c r="O137" s="197"/>
      <c r="P137" s="197">
        <v>3833</v>
      </c>
      <c r="Q137" s="197">
        <f>SUM(R137:W137)</f>
        <v>18458</v>
      </c>
      <c r="R137" s="197"/>
      <c r="S137" s="197"/>
      <c r="T137" s="197"/>
      <c r="U137" s="197">
        <v>18458</v>
      </c>
      <c r="V137" s="197"/>
      <c r="W137" s="197"/>
      <c r="X137" s="238" t="s">
        <v>286</v>
      </c>
      <c r="Y137" s="232"/>
      <c r="Z137" s="232"/>
    </row>
    <row r="138" spans="1:26" s="328" customFormat="1" ht="58.9" customHeight="1">
      <c r="A138" s="273" t="s">
        <v>661</v>
      </c>
      <c r="B138" s="329" t="s">
        <v>140</v>
      </c>
      <c r="C138" s="251"/>
      <c r="D138" s="251"/>
      <c r="E138" s="251"/>
      <c r="F138" s="251"/>
      <c r="G138" s="253">
        <f>G139</f>
        <v>51480</v>
      </c>
      <c r="H138" s="253">
        <f t="shared" ref="H138:W138" si="57">H139</f>
        <v>0</v>
      </c>
      <c r="I138" s="253">
        <f t="shared" si="57"/>
        <v>44235</v>
      </c>
      <c r="J138" s="253">
        <f t="shared" si="57"/>
        <v>0</v>
      </c>
      <c r="K138" s="253">
        <f t="shared" si="57"/>
        <v>7245</v>
      </c>
      <c r="L138" s="253">
        <f t="shared" si="57"/>
        <v>27056</v>
      </c>
      <c r="M138" s="253">
        <f t="shared" si="57"/>
        <v>0</v>
      </c>
      <c r="N138" s="253">
        <f t="shared" si="57"/>
        <v>25596</v>
      </c>
      <c r="O138" s="253">
        <f t="shared" si="57"/>
        <v>0</v>
      </c>
      <c r="P138" s="253">
        <f t="shared" si="57"/>
        <v>1460</v>
      </c>
      <c r="Q138" s="253">
        <f t="shared" si="57"/>
        <v>17654</v>
      </c>
      <c r="R138" s="253">
        <f t="shared" si="57"/>
        <v>0</v>
      </c>
      <c r="S138" s="253">
        <f t="shared" si="57"/>
        <v>0</v>
      </c>
      <c r="T138" s="253">
        <f t="shared" si="57"/>
        <v>0</v>
      </c>
      <c r="U138" s="253">
        <f t="shared" si="57"/>
        <v>17654</v>
      </c>
      <c r="V138" s="253">
        <f t="shared" si="57"/>
        <v>0</v>
      </c>
      <c r="W138" s="253">
        <f t="shared" si="57"/>
        <v>0</v>
      </c>
      <c r="X138" s="302"/>
      <c r="Y138" s="277"/>
      <c r="Z138" s="277"/>
    </row>
    <row r="139" spans="1:26" s="281" customFormat="1" ht="96.6" customHeight="1">
      <c r="A139" s="266"/>
      <c r="B139" s="203" t="s">
        <v>654</v>
      </c>
      <c r="C139" s="238"/>
      <c r="D139" s="238"/>
      <c r="E139" s="238"/>
      <c r="F139" s="238"/>
      <c r="G139" s="197">
        <f>SUM(H139:K139)</f>
        <v>51480</v>
      </c>
      <c r="H139" s="197"/>
      <c r="I139" s="197">
        <v>44235</v>
      </c>
      <c r="J139" s="197"/>
      <c r="K139" s="197">
        <v>7245</v>
      </c>
      <c r="L139" s="197">
        <f>SUM(M139:P139)</f>
        <v>27056</v>
      </c>
      <c r="M139" s="197"/>
      <c r="N139" s="197">
        <v>25596</v>
      </c>
      <c r="O139" s="197"/>
      <c r="P139" s="197">
        <v>1460</v>
      </c>
      <c r="Q139" s="197">
        <f>SUM(R139:W139)</f>
        <v>17654</v>
      </c>
      <c r="R139" s="197"/>
      <c r="S139" s="197"/>
      <c r="T139" s="197"/>
      <c r="U139" s="197">
        <v>17654</v>
      </c>
      <c r="V139" s="197"/>
      <c r="W139" s="197"/>
      <c r="X139" s="300" t="s">
        <v>255</v>
      </c>
      <c r="Y139" s="232"/>
      <c r="Z139" s="232"/>
    </row>
    <row r="140" spans="1:26" s="328" customFormat="1" ht="58.9" customHeight="1">
      <c r="A140" s="273" t="s">
        <v>662</v>
      </c>
      <c r="B140" s="329" t="s">
        <v>139</v>
      </c>
      <c r="C140" s="251"/>
      <c r="D140" s="251"/>
      <c r="E140" s="251"/>
      <c r="F140" s="251"/>
      <c r="G140" s="253">
        <f>G141</f>
        <v>2325</v>
      </c>
      <c r="H140" s="253">
        <f t="shared" ref="H140:W140" si="58">H141</f>
        <v>0</v>
      </c>
      <c r="I140" s="253">
        <f t="shared" si="58"/>
        <v>2325</v>
      </c>
      <c r="J140" s="253">
        <f t="shared" si="58"/>
        <v>0</v>
      </c>
      <c r="K140" s="253">
        <f t="shared" si="58"/>
        <v>0</v>
      </c>
      <c r="L140" s="253">
        <f t="shared" si="58"/>
        <v>1920</v>
      </c>
      <c r="M140" s="253">
        <f t="shared" si="58"/>
        <v>0</v>
      </c>
      <c r="N140" s="253">
        <f t="shared" si="58"/>
        <v>1920</v>
      </c>
      <c r="O140" s="253">
        <f t="shared" si="58"/>
        <v>0</v>
      </c>
      <c r="P140" s="253">
        <f t="shared" si="58"/>
        <v>0</v>
      </c>
      <c r="Q140" s="253">
        <f t="shared" si="58"/>
        <v>405</v>
      </c>
      <c r="R140" s="253">
        <f t="shared" si="58"/>
        <v>0</v>
      </c>
      <c r="S140" s="253">
        <f t="shared" si="58"/>
        <v>0</v>
      </c>
      <c r="T140" s="253">
        <f t="shared" si="58"/>
        <v>0</v>
      </c>
      <c r="U140" s="253">
        <f t="shared" si="58"/>
        <v>405</v>
      </c>
      <c r="V140" s="253">
        <f t="shared" si="58"/>
        <v>0</v>
      </c>
      <c r="W140" s="253">
        <f t="shared" si="58"/>
        <v>0</v>
      </c>
      <c r="X140" s="302"/>
      <c r="Y140" s="277"/>
      <c r="Z140" s="277"/>
    </row>
    <row r="141" spans="1:26" s="281" customFormat="1" ht="64.150000000000006" customHeight="1">
      <c r="A141" s="266"/>
      <c r="B141" s="203" t="s">
        <v>653</v>
      </c>
      <c r="C141" s="238"/>
      <c r="D141" s="238"/>
      <c r="E141" s="238"/>
      <c r="F141" s="238"/>
      <c r="G141" s="197">
        <f>SUM(H141:K141)</f>
        <v>2325</v>
      </c>
      <c r="H141" s="197"/>
      <c r="I141" s="197">
        <v>2325</v>
      </c>
      <c r="J141" s="197"/>
      <c r="K141" s="197"/>
      <c r="L141" s="197">
        <f>SUM(M141:P141)</f>
        <v>1920</v>
      </c>
      <c r="M141" s="197"/>
      <c r="N141" s="197">
        <v>1920</v>
      </c>
      <c r="O141" s="197"/>
      <c r="P141" s="197"/>
      <c r="Q141" s="197">
        <f>SUM(R141:W141)</f>
        <v>405</v>
      </c>
      <c r="R141" s="197"/>
      <c r="S141" s="197"/>
      <c r="T141" s="197"/>
      <c r="U141" s="197">
        <v>405</v>
      </c>
      <c r="V141" s="197"/>
      <c r="W141" s="197"/>
      <c r="X141" s="300" t="s">
        <v>531</v>
      </c>
      <c r="Y141" s="232"/>
      <c r="Z141" s="232"/>
    </row>
    <row r="142" spans="1:26" s="328" customFormat="1" ht="58.9" customHeight="1">
      <c r="A142" s="273" t="s">
        <v>663</v>
      </c>
      <c r="B142" s="329" t="s">
        <v>138</v>
      </c>
      <c r="C142" s="251"/>
      <c r="D142" s="251"/>
      <c r="E142" s="251"/>
      <c r="F142" s="251"/>
      <c r="G142" s="197">
        <f>SUM(G143:G144)</f>
        <v>16460</v>
      </c>
      <c r="H142" s="197">
        <f t="shared" ref="H142:W142" si="59">SUM(H143:H144)</f>
        <v>0</v>
      </c>
      <c r="I142" s="197">
        <f t="shared" si="59"/>
        <v>15855</v>
      </c>
      <c r="J142" s="197">
        <f t="shared" si="59"/>
        <v>0</v>
      </c>
      <c r="K142" s="197">
        <f t="shared" si="59"/>
        <v>605</v>
      </c>
      <c r="L142" s="197">
        <f t="shared" si="59"/>
        <v>8693</v>
      </c>
      <c r="M142" s="197">
        <f t="shared" si="59"/>
        <v>0</v>
      </c>
      <c r="N142" s="197">
        <f t="shared" si="59"/>
        <v>8538</v>
      </c>
      <c r="O142" s="197">
        <f t="shared" si="59"/>
        <v>0</v>
      </c>
      <c r="P142" s="197">
        <f t="shared" si="59"/>
        <v>155</v>
      </c>
      <c r="Q142" s="197">
        <f t="shared" si="59"/>
        <v>5717</v>
      </c>
      <c r="R142" s="197">
        <f t="shared" si="59"/>
        <v>0</v>
      </c>
      <c r="S142" s="197">
        <f t="shared" si="59"/>
        <v>0</v>
      </c>
      <c r="T142" s="197">
        <f t="shared" si="59"/>
        <v>0</v>
      </c>
      <c r="U142" s="197">
        <f t="shared" si="59"/>
        <v>5717</v>
      </c>
      <c r="V142" s="197">
        <f t="shared" si="59"/>
        <v>0</v>
      </c>
      <c r="W142" s="197">
        <f t="shared" si="59"/>
        <v>0</v>
      </c>
      <c r="X142" s="288"/>
      <c r="Y142" s="277"/>
      <c r="Z142" s="277"/>
    </row>
    <row r="143" spans="1:26" s="281" customFormat="1" ht="58.9" customHeight="1">
      <c r="A143" s="266"/>
      <c r="B143" s="203" t="s">
        <v>653</v>
      </c>
      <c r="C143" s="238"/>
      <c r="D143" s="238"/>
      <c r="E143" s="238"/>
      <c r="F143" s="238"/>
      <c r="G143" s="197">
        <f>SUM(H143:K143)</f>
        <v>4360</v>
      </c>
      <c r="H143" s="197"/>
      <c r="I143" s="197">
        <v>4360</v>
      </c>
      <c r="J143" s="197"/>
      <c r="K143" s="197"/>
      <c r="L143" s="197">
        <f>SUM(M143:P143)</f>
        <v>1200</v>
      </c>
      <c r="M143" s="197"/>
      <c r="N143" s="197">
        <v>1200</v>
      </c>
      <c r="O143" s="197"/>
      <c r="P143" s="197"/>
      <c r="Q143" s="197">
        <f>SUM(R143:W143)</f>
        <v>3160</v>
      </c>
      <c r="R143" s="197"/>
      <c r="S143" s="197"/>
      <c r="T143" s="197"/>
      <c r="U143" s="197">
        <v>3160</v>
      </c>
      <c r="V143" s="197"/>
      <c r="W143" s="197"/>
      <c r="X143" s="300" t="s">
        <v>532</v>
      </c>
      <c r="Y143" s="232"/>
      <c r="Z143" s="232"/>
    </row>
    <row r="144" spans="1:26" s="281" customFormat="1" ht="108" customHeight="1">
      <c r="A144" s="266"/>
      <c r="B144" s="203" t="s">
        <v>654</v>
      </c>
      <c r="C144" s="238"/>
      <c r="D144" s="238"/>
      <c r="E144" s="238"/>
      <c r="F144" s="238"/>
      <c r="G144" s="197">
        <f>SUM(H144:K144)</f>
        <v>12100</v>
      </c>
      <c r="H144" s="197"/>
      <c r="I144" s="197">
        <v>11495</v>
      </c>
      <c r="J144" s="197"/>
      <c r="K144" s="197">
        <v>605</v>
      </c>
      <c r="L144" s="197">
        <f>SUM(M144:P144)</f>
        <v>7493</v>
      </c>
      <c r="M144" s="197"/>
      <c r="N144" s="197">
        <v>7338</v>
      </c>
      <c r="O144" s="197"/>
      <c r="P144" s="197">
        <v>155</v>
      </c>
      <c r="Q144" s="197">
        <f>SUM(R144:W144)</f>
        <v>2557</v>
      </c>
      <c r="R144" s="197"/>
      <c r="S144" s="197"/>
      <c r="T144" s="197"/>
      <c r="U144" s="197">
        <v>2557</v>
      </c>
      <c r="V144" s="197"/>
      <c r="W144" s="197"/>
      <c r="X144" s="300" t="s">
        <v>664</v>
      </c>
      <c r="Y144" s="232"/>
      <c r="Z144" s="232"/>
    </row>
    <row r="145" spans="1:26" s="328" customFormat="1" ht="66" customHeight="1">
      <c r="A145" s="273" t="s">
        <v>665</v>
      </c>
      <c r="B145" s="293" t="s">
        <v>487</v>
      </c>
      <c r="C145" s="251"/>
      <c r="D145" s="251"/>
      <c r="E145" s="251"/>
      <c r="F145" s="251"/>
      <c r="G145" s="253">
        <f>G146</f>
        <v>201188</v>
      </c>
      <c r="H145" s="253">
        <f t="shared" ref="H145:W145" si="60">H146</f>
        <v>0</v>
      </c>
      <c r="I145" s="253">
        <f t="shared" si="60"/>
        <v>185195</v>
      </c>
      <c r="J145" s="253">
        <f t="shared" si="60"/>
        <v>3977</v>
      </c>
      <c r="K145" s="253">
        <f t="shared" si="60"/>
        <v>12016</v>
      </c>
      <c r="L145" s="253">
        <f t="shared" si="60"/>
        <v>85088</v>
      </c>
      <c r="M145" s="253">
        <f t="shared" si="60"/>
        <v>0</v>
      </c>
      <c r="N145" s="253">
        <f t="shared" si="60"/>
        <v>85088</v>
      </c>
      <c r="O145" s="253">
        <f t="shared" si="60"/>
        <v>0</v>
      </c>
      <c r="P145" s="253">
        <f t="shared" si="60"/>
        <v>0</v>
      </c>
      <c r="Q145" s="253">
        <f t="shared" si="60"/>
        <v>45269</v>
      </c>
      <c r="R145" s="253">
        <f t="shared" si="60"/>
        <v>3581</v>
      </c>
      <c r="S145" s="253">
        <f t="shared" si="60"/>
        <v>0</v>
      </c>
      <c r="T145" s="253">
        <f t="shared" si="60"/>
        <v>0</v>
      </c>
      <c r="U145" s="253">
        <f t="shared" si="60"/>
        <v>41688</v>
      </c>
      <c r="V145" s="253">
        <f t="shared" si="60"/>
        <v>0</v>
      </c>
      <c r="W145" s="253">
        <f t="shared" si="60"/>
        <v>0</v>
      </c>
      <c r="X145" s="302"/>
      <c r="Y145" s="277"/>
      <c r="Z145" s="277"/>
    </row>
    <row r="146" spans="1:26" s="281" customFormat="1" ht="55.9" customHeight="1">
      <c r="A146" s="266"/>
      <c r="B146" s="301" t="s">
        <v>583</v>
      </c>
      <c r="C146" s="238"/>
      <c r="D146" s="238"/>
      <c r="E146" s="238"/>
      <c r="F146" s="238"/>
      <c r="G146" s="197">
        <f>SUM(G147:G148)</f>
        <v>201188</v>
      </c>
      <c r="H146" s="197">
        <f t="shared" ref="H146:W146" si="61">SUM(H147:H148)</f>
        <v>0</v>
      </c>
      <c r="I146" s="197">
        <f t="shared" si="61"/>
        <v>185195</v>
      </c>
      <c r="J146" s="197">
        <f t="shared" si="61"/>
        <v>3977</v>
      </c>
      <c r="K146" s="197">
        <f t="shared" si="61"/>
        <v>12016</v>
      </c>
      <c r="L146" s="197">
        <f t="shared" si="61"/>
        <v>85088</v>
      </c>
      <c r="M146" s="197">
        <f t="shared" si="61"/>
        <v>0</v>
      </c>
      <c r="N146" s="197">
        <f t="shared" si="61"/>
        <v>85088</v>
      </c>
      <c r="O146" s="197">
        <f t="shared" si="61"/>
        <v>0</v>
      </c>
      <c r="P146" s="197">
        <f t="shared" si="61"/>
        <v>0</v>
      </c>
      <c r="Q146" s="197">
        <f t="shared" si="61"/>
        <v>45269</v>
      </c>
      <c r="R146" s="197">
        <f t="shared" si="61"/>
        <v>3581</v>
      </c>
      <c r="S146" s="197">
        <f t="shared" si="61"/>
        <v>0</v>
      </c>
      <c r="T146" s="197">
        <f t="shared" si="61"/>
        <v>0</v>
      </c>
      <c r="U146" s="197">
        <f>SUM(U147:U148)</f>
        <v>41688</v>
      </c>
      <c r="V146" s="197">
        <f t="shared" si="61"/>
        <v>0</v>
      </c>
      <c r="W146" s="197">
        <f t="shared" si="61"/>
        <v>0</v>
      </c>
      <c r="X146" s="300"/>
      <c r="Y146" s="232"/>
      <c r="Z146" s="232"/>
    </row>
    <row r="147" spans="1:26" s="292" customFormat="1" ht="42" customHeight="1">
      <c r="A147" s="282"/>
      <c r="B147" s="291" t="s">
        <v>145</v>
      </c>
      <c r="C147" s="284"/>
      <c r="D147" s="284"/>
      <c r="E147" s="284"/>
      <c r="F147" s="284"/>
      <c r="G147" s="287">
        <f>SUM(H147:K147)</f>
        <v>111842</v>
      </c>
      <c r="H147" s="287"/>
      <c r="I147" s="287">
        <f>13972+88165</f>
        <v>102137</v>
      </c>
      <c r="J147" s="287">
        <f>256+2056</f>
        <v>2312</v>
      </c>
      <c r="K147" s="287">
        <f>7253+140</f>
        <v>7393</v>
      </c>
      <c r="L147" s="287">
        <f>SUM(M147:P147)</f>
        <v>32631</v>
      </c>
      <c r="M147" s="287"/>
      <c r="N147" s="287">
        <f>8976+1900+12757+8998</f>
        <v>32631</v>
      </c>
      <c r="O147" s="287"/>
      <c r="P147" s="287"/>
      <c r="Q147" s="287">
        <f>SUM(R147:W147)</f>
        <v>27614</v>
      </c>
      <c r="R147" s="287">
        <v>2056</v>
      </c>
      <c r="S147" s="287"/>
      <c r="T147" s="287"/>
      <c r="U147" s="287">
        <f>2558+23000</f>
        <v>25558</v>
      </c>
      <c r="V147" s="287"/>
      <c r="W147" s="287"/>
      <c r="X147" s="238" t="s">
        <v>288</v>
      </c>
      <c r="Y147" s="289"/>
      <c r="Z147" s="289"/>
    </row>
    <row r="148" spans="1:26" s="292" customFormat="1" ht="43.15" customHeight="1">
      <c r="A148" s="282"/>
      <c r="B148" s="330" t="s">
        <v>144</v>
      </c>
      <c r="C148" s="284"/>
      <c r="D148" s="284"/>
      <c r="E148" s="284"/>
      <c r="F148" s="284"/>
      <c r="G148" s="287">
        <f>SUM(H148:K148)</f>
        <v>89346</v>
      </c>
      <c r="H148" s="287"/>
      <c r="I148" s="287">
        <f>60418+1510+16285+4845</f>
        <v>83058</v>
      </c>
      <c r="J148" s="287">
        <f>1213+325+97+30</f>
        <v>1665</v>
      </c>
      <c r="K148" s="287">
        <f>1901+2609+53+60</f>
        <v>4623</v>
      </c>
      <c r="L148" s="287">
        <f>SUM(M148:P148)</f>
        <v>52457</v>
      </c>
      <c r="M148" s="287"/>
      <c r="N148" s="287">
        <f>1510+30447+15655+4845</f>
        <v>52457</v>
      </c>
      <c r="O148" s="287"/>
      <c r="P148" s="287"/>
      <c r="Q148" s="287">
        <f>SUM(R148:W148)</f>
        <v>17655</v>
      </c>
      <c r="R148" s="287">
        <f>30+1213+185+97</f>
        <v>1525</v>
      </c>
      <c r="S148" s="287"/>
      <c r="T148" s="287"/>
      <c r="U148" s="287">
        <f>15500+630</f>
        <v>16130</v>
      </c>
      <c r="V148" s="287"/>
      <c r="W148" s="287"/>
      <c r="X148" s="238" t="s">
        <v>283</v>
      </c>
      <c r="Y148" s="289"/>
      <c r="Z148" s="289"/>
    </row>
    <row r="149" spans="1:26" s="328" customFormat="1" ht="59.45" customHeight="1">
      <c r="A149" s="273" t="s">
        <v>666</v>
      </c>
      <c r="B149" s="301" t="s">
        <v>309</v>
      </c>
      <c r="C149" s="251"/>
      <c r="D149" s="251"/>
      <c r="E149" s="251"/>
      <c r="F149" s="251"/>
      <c r="G149" s="253">
        <f>SUM(G150:G157)</f>
        <v>239915</v>
      </c>
      <c r="H149" s="253">
        <f t="shared" ref="H149:W149" si="62">SUM(H150:H157)</f>
        <v>0</v>
      </c>
      <c r="I149" s="253">
        <f t="shared" si="62"/>
        <v>186862</v>
      </c>
      <c r="J149" s="253">
        <f t="shared" si="62"/>
        <v>14562</v>
      </c>
      <c r="K149" s="253">
        <f t="shared" si="62"/>
        <v>38491</v>
      </c>
      <c r="L149" s="253">
        <f t="shared" si="62"/>
        <v>97633</v>
      </c>
      <c r="M149" s="253">
        <f t="shared" si="62"/>
        <v>0</v>
      </c>
      <c r="N149" s="253">
        <f t="shared" si="62"/>
        <v>84674</v>
      </c>
      <c r="O149" s="253">
        <f t="shared" si="62"/>
        <v>9544</v>
      </c>
      <c r="P149" s="253">
        <f t="shared" si="62"/>
        <v>3415</v>
      </c>
      <c r="Q149" s="253">
        <f>SUM(Q150:Q157)</f>
        <v>78212</v>
      </c>
      <c r="R149" s="253">
        <f t="shared" si="62"/>
        <v>5018</v>
      </c>
      <c r="S149" s="253">
        <f t="shared" si="62"/>
        <v>0</v>
      </c>
      <c r="T149" s="253">
        <f t="shared" si="62"/>
        <v>0</v>
      </c>
      <c r="U149" s="253">
        <f>SUM(U150:U157)</f>
        <v>73194</v>
      </c>
      <c r="V149" s="253">
        <f t="shared" si="62"/>
        <v>0</v>
      </c>
      <c r="W149" s="253">
        <f t="shared" si="62"/>
        <v>0</v>
      </c>
      <c r="X149" s="331"/>
      <c r="Y149" s="277"/>
      <c r="Z149" s="277"/>
    </row>
    <row r="150" spans="1:26" s="292" customFormat="1" ht="43.15" customHeight="1">
      <c r="A150" s="282"/>
      <c r="B150" s="332" t="s">
        <v>667</v>
      </c>
      <c r="C150" s="284"/>
      <c r="D150" s="284"/>
      <c r="E150" s="284"/>
      <c r="F150" s="284"/>
      <c r="G150" s="287">
        <f t="shared" ref="G150:G157" si="63">SUM(H150:K150)</f>
        <v>95800</v>
      </c>
      <c r="H150" s="287"/>
      <c r="I150" s="287">
        <v>74406</v>
      </c>
      <c r="J150" s="287">
        <v>8522</v>
      </c>
      <c r="K150" s="287">
        <v>12872</v>
      </c>
      <c r="L150" s="287">
        <f t="shared" ref="L150:L157" si="64">SUM(M150:P150)</f>
        <v>30198</v>
      </c>
      <c r="M150" s="287"/>
      <c r="N150" s="287">
        <v>24404</v>
      </c>
      <c r="O150" s="287">
        <v>5794</v>
      </c>
      <c r="P150" s="287">
        <v>0</v>
      </c>
      <c r="Q150" s="287">
        <f t="shared" ref="Q150:Q156" si="65">SUM(R150:W150)</f>
        <v>35171</v>
      </c>
      <c r="R150" s="287">
        <v>2728</v>
      </c>
      <c r="S150" s="287"/>
      <c r="T150" s="287"/>
      <c r="U150" s="287">
        <v>32443</v>
      </c>
      <c r="V150" s="287"/>
      <c r="W150" s="287"/>
      <c r="X150" s="288" t="s">
        <v>255</v>
      </c>
      <c r="Y150" s="289"/>
      <c r="Z150" s="289"/>
    </row>
    <row r="151" spans="1:26" s="292" customFormat="1" ht="43.15" customHeight="1">
      <c r="A151" s="282"/>
      <c r="B151" s="333" t="s">
        <v>668</v>
      </c>
      <c r="C151" s="284"/>
      <c r="D151" s="284"/>
      <c r="E151" s="284"/>
      <c r="F151" s="284"/>
      <c r="G151" s="287">
        <f t="shared" si="63"/>
        <v>48334</v>
      </c>
      <c r="H151" s="287"/>
      <c r="I151" s="287">
        <v>35561</v>
      </c>
      <c r="J151" s="287">
        <v>5964</v>
      </c>
      <c r="K151" s="287">
        <v>6809</v>
      </c>
      <c r="L151" s="287">
        <f t="shared" si="64"/>
        <v>28724</v>
      </c>
      <c r="M151" s="287"/>
      <c r="N151" s="287">
        <v>23659</v>
      </c>
      <c r="O151" s="287">
        <v>3750</v>
      </c>
      <c r="P151" s="287">
        <v>1315</v>
      </c>
      <c r="Q151" s="287">
        <f t="shared" si="65"/>
        <v>12116</v>
      </c>
      <c r="R151" s="287">
        <v>2214</v>
      </c>
      <c r="S151" s="287"/>
      <c r="T151" s="287"/>
      <c r="U151" s="287">
        <v>9902</v>
      </c>
      <c r="V151" s="287"/>
      <c r="W151" s="287"/>
      <c r="X151" s="288" t="s">
        <v>258</v>
      </c>
      <c r="Y151" s="289"/>
      <c r="Z151" s="289"/>
    </row>
    <row r="152" spans="1:26" s="292" customFormat="1" ht="43.15" customHeight="1">
      <c r="A152" s="282"/>
      <c r="B152" s="291" t="s">
        <v>669</v>
      </c>
      <c r="C152" s="284"/>
      <c r="D152" s="284"/>
      <c r="E152" s="284"/>
      <c r="F152" s="284"/>
      <c r="G152" s="287">
        <f t="shared" si="63"/>
        <v>2550</v>
      </c>
      <c r="H152" s="287"/>
      <c r="I152" s="287">
        <v>2395</v>
      </c>
      <c r="J152" s="287">
        <v>76</v>
      </c>
      <c r="K152" s="287">
        <v>79</v>
      </c>
      <c r="L152" s="287">
        <f t="shared" si="64"/>
        <v>2395</v>
      </c>
      <c r="M152" s="287"/>
      <c r="N152" s="287">
        <v>2395</v>
      </c>
      <c r="O152" s="287"/>
      <c r="P152" s="287"/>
      <c r="Q152" s="287">
        <f t="shared" si="65"/>
        <v>76</v>
      </c>
      <c r="R152" s="287">
        <v>76</v>
      </c>
      <c r="S152" s="287"/>
      <c r="T152" s="287"/>
      <c r="U152" s="287"/>
      <c r="V152" s="287"/>
      <c r="W152" s="287"/>
      <c r="X152" s="238" t="s">
        <v>283</v>
      </c>
      <c r="Y152" s="289"/>
      <c r="Z152" s="289"/>
    </row>
    <row r="153" spans="1:26" s="292" customFormat="1" ht="43.15" customHeight="1">
      <c r="A153" s="282"/>
      <c r="B153" s="291" t="s">
        <v>670</v>
      </c>
      <c r="C153" s="284"/>
      <c r="D153" s="284"/>
      <c r="E153" s="284"/>
      <c r="F153" s="284"/>
      <c r="G153" s="287">
        <f t="shared" si="63"/>
        <v>4000</v>
      </c>
      <c r="H153" s="287"/>
      <c r="I153" s="287">
        <v>3500</v>
      </c>
      <c r="J153" s="287">
        <v>0</v>
      </c>
      <c r="K153" s="287">
        <v>500</v>
      </c>
      <c r="L153" s="287">
        <f t="shared" si="64"/>
        <v>2000</v>
      </c>
      <c r="M153" s="287"/>
      <c r="N153" s="287">
        <v>2000</v>
      </c>
      <c r="O153" s="287"/>
      <c r="P153" s="287"/>
      <c r="Q153" s="287">
        <f t="shared" si="65"/>
        <v>1500</v>
      </c>
      <c r="R153" s="287"/>
      <c r="S153" s="287"/>
      <c r="T153" s="287"/>
      <c r="U153" s="287">
        <v>1500</v>
      </c>
      <c r="V153" s="287"/>
      <c r="W153" s="287"/>
      <c r="X153" s="288" t="s">
        <v>281</v>
      </c>
      <c r="Y153" s="289"/>
      <c r="Z153" s="289"/>
    </row>
    <row r="154" spans="1:26" s="292" customFormat="1" ht="43.15" customHeight="1">
      <c r="A154" s="282"/>
      <c r="B154" s="291" t="s">
        <v>671</v>
      </c>
      <c r="C154" s="284"/>
      <c r="D154" s="284"/>
      <c r="E154" s="284"/>
      <c r="F154" s="284"/>
      <c r="G154" s="287">
        <f t="shared" si="63"/>
        <v>56731</v>
      </c>
      <c r="H154" s="287"/>
      <c r="I154" s="287">
        <v>43143</v>
      </c>
      <c r="J154" s="287">
        <v>0</v>
      </c>
      <c r="K154" s="287">
        <v>13588</v>
      </c>
      <c r="L154" s="287">
        <f t="shared" si="64"/>
        <v>24245</v>
      </c>
      <c r="M154" s="287"/>
      <c r="N154" s="287">
        <v>22145</v>
      </c>
      <c r="O154" s="287">
        <v>0</v>
      </c>
      <c r="P154" s="287">
        <v>2100</v>
      </c>
      <c r="Q154" s="287">
        <f t="shared" si="65"/>
        <v>11563</v>
      </c>
      <c r="R154" s="287"/>
      <c r="S154" s="287"/>
      <c r="T154" s="287"/>
      <c r="U154" s="287">
        <v>11563</v>
      </c>
      <c r="V154" s="287"/>
      <c r="W154" s="287"/>
      <c r="X154" s="288" t="s">
        <v>647</v>
      </c>
      <c r="Y154" s="289"/>
      <c r="Z154" s="289"/>
    </row>
    <row r="155" spans="1:26" s="292" customFormat="1" ht="43.15" customHeight="1">
      <c r="A155" s="282"/>
      <c r="B155" s="291" t="s">
        <v>672</v>
      </c>
      <c r="C155" s="284"/>
      <c r="D155" s="284"/>
      <c r="E155" s="284"/>
      <c r="F155" s="284"/>
      <c r="G155" s="287">
        <f t="shared" si="63"/>
        <v>19500</v>
      </c>
      <c r="H155" s="287"/>
      <c r="I155" s="287">
        <v>18335</v>
      </c>
      <c r="J155" s="287">
        <v>0</v>
      </c>
      <c r="K155" s="287">
        <v>1165</v>
      </c>
      <c r="L155" s="287">
        <f t="shared" si="64"/>
        <v>7281</v>
      </c>
      <c r="M155" s="287"/>
      <c r="N155" s="287">
        <v>7281</v>
      </c>
      <c r="O155" s="287">
        <v>0</v>
      </c>
      <c r="P155" s="287">
        <v>0</v>
      </c>
      <c r="Q155" s="287">
        <f t="shared" si="65"/>
        <v>11054</v>
      </c>
      <c r="R155" s="287"/>
      <c r="S155" s="287"/>
      <c r="T155" s="287"/>
      <c r="U155" s="287">
        <v>11054</v>
      </c>
      <c r="V155" s="287"/>
      <c r="W155" s="287"/>
      <c r="X155" s="238" t="s">
        <v>286</v>
      </c>
      <c r="Y155" s="289"/>
      <c r="Z155" s="289"/>
    </row>
    <row r="156" spans="1:26" s="292" customFormat="1" ht="43.15" customHeight="1">
      <c r="A156" s="282"/>
      <c r="B156" s="334" t="s">
        <v>673</v>
      </c>
      <c r="C156" s="284"/>
      <c r="D156" s="284"/>
      <c r="E156" s="284"/>
      <c r="F156" s="284"/>
      <c r="G156" s="287">
        <f t="shared" si="63"/>
        <v>5350</v>
      </c>
      <c r="H156" s="287"/>
      <c r="I156" s="287">
        <v>5082</v>
      </c>
      <c r="J156" s="287">
        <v>0</v>
      </c>
      <c r="K156" s="287">
        <v>268</v>
      </c>
      <c r="L156" s="287">
        <f t="shared" si="64"/>
        <v>1250</v>
      </c>
      <c r="M156" s="287"/>
      <c r="N156" s="287">
        <v>1250</v>
      </c>
      <c r="O156" s="287">
        <v>0</v>
      </c>
      <c r="P156" s="287">
        <v>0</v>
      </c>
      <c r="Q156" s="287">
        <f t="shared" si="65"/>
        <v>3832</v>
      </c>
      <c r="R156" s="287"/>
      <c r="S156" s="287"/>
      <c r="T156" s="287"/>
      <c r="U156" s="287">
        <v>3832</v>
      </c>
      <c r="V156" s="287"/>
      <c r="W156" s="287"/>
      <c r="X156" s="288" t="s">
        <v>674</v>
      </c>
      <c r="Y156" s="289"/>
      <c r="Z156" s="289"/>
    </row>
    <row r="157" spans="1:26" s="292" customFormat="1" ht="43.15" customHeight="1">
      <c r="A157" s="282"/>
      <c r="B157" s="334" t="s">
        <v>675</v>
      </c>
      <c r="C157" s="284"/>
      <c r="D157" s="284"/>
      <c r="E157" s="284"/>
      <c r="F157" s="284"/>
      <c r="G157" s="287">
        <f t="shared" si="63"/>
        <v>7650</v>
      </c>
      <c r="H157" s="287"/>
      <c r="I157" s="287">
        <v>4440</v>
      </c>
      <c r="J157" s="287">
        <v>0</v>
      </c>
      <c r="K157" s="287">
        <v>3210</v>
      </c>
      <c r="L157" s="287">
        <f t="shared" si="64"/>
        <v>1540</v>
      </c>
      <c r="M157" s="287"/>
      <c r="N157" s="287">
        <v>1540</v>
      </c>
      <c r="O157" s="287">
        <v>0</v>
      </c>
      <c r="P157" s="287">
        <v>0</v>
      </c>
      <c r="Q157" s="287">
        <f>SUM(R157:W157)</f>
        <v>2900</v>
      </c>
      <c r="R157" s="287"/>
      <c r="S157" s="287"/>
      <c r="T157" s="287"/>
      <c r="U157" s="287">
        <v>2900</v>
      </c>
      <c r="V157" s="287"/>
      <c r="W157" s="287"/>
      <c r="X157" s="238" t="s">
        <v>292</v>
      </c>
      <c r="Y157" s="289"/>
      <c r="Z157" s="289"/>
    </row>
    <row r="158" spans="1:26" s="298" customFormat="1" ht="29.45" customHeight="1">
      <c r="A158" s="249">
        <v>13</v>
      </c>
      <c r="B158" s="199" t="s">
        <v>428</v>
      </c>
      <c r="C158" s="321"/>
      <c r="D158" s="321"/>
      <c r="E158" s="321"/>
      <c r="F158" s="321"/>
      <c r="G158" s="253"/>
      <c r="H158" s="253"/>
      <c r="I158" s="253"/>
      <c r="J158" s="253"/>
      <c r="K158" s="253"/>
      <c r="L158" s="253">
        <v>295000</v>
      </c>
      <c r="M158" s="253"/>
      <c r="N158" s="253"/>
      <c r="O158" s="253">
        <v>295000</v>
      </c>
      <c r="P158" s="253"/>
      <c r="Q158" s="264">
        <f>SUM(R158:W158)</f>
        <v>45000</v>
      </c>
      <c r="R158" s="253">
        <v>22500</v>
      </c>
      <c r="S158" s="253"/>
      <c r="T158" s="253">
        <v>22500</v>
      </c>
      <c r="U158" s="253"/>
      <c r="V158" s="253"/>
      <c r="W158" s="253"/>
      <c r="X158" s="321"/>
      <c r="Y158" s="232">
        <f>N158+O158+P158</f>
        <v>295000</v>
      </c>
      <c r="Z158" s="232">
        <f>L158-Y158</f>
        <v>0</v>
      </c>
    </row>
    <row r="159" spans="1:26" s="292" customFormat="1" ht="43.15" customHeight="1">
      <c r="A159" s="282"/>
      <c r="B159" s="334" t="s">
        <v>141</v>
      </c>
      <c r="C159" s="284"/>
      <c r="D159" s="284"/>
      <c r="E159" s="284"/>
      <c r="F159" s="284"/>
      <c r="G159" s="287"/>
      <c r="H159" s="287"/>
      <c r="I159" s="287"/>
      <c r="J159" s="287"/>
      <c r="K159" s="287"/>
      <c r="L159" s="287"/>
      <c r="M159" s="287"/>
      <c r="N159" s="287"/>
      <c r="O159" s="287"/>
      <c r="P159" s="287"/>
      <c r="Q159" s="287">
        <f>SUM(R159:W159)</f>
        <v>5400</v>
      </c>
      <c r="R159" s="287"/>
      <c r="S159" s="287"/>
      <c r="T159" s="287">
        <v>5400</v>
      </c>
      <c r="U159" s="287"/>
      <c r="V159" s="287"/>
      <c r="W159" s="287"/>
      <c r="X159" s="238"/>
      <c r="Y159" s="289"/>
      <c r="Z159" s="289"/>
    </row>
    <row r="160" spans="1:26" s="292" customFormat="1" ht="43.15" customHeight="1">
      <c r="A160" s="282"/>
      <c r="B160" s="334" t="s">
        <v>140</v>
      </c>
      <c r="C160" s="284"/>
      <c r="D160" s="284"/>
      <c r="E160" s="284"/>
      <c r="F160" s="284"/>
      <c r="G160" s="287"/>
      <c r="H160" s="287"/>
      <c r="I160" s="287"/>
      <c r="J160" s="287"/>
      <c r="K160" s="287"/>
      <c r="L160" s="287"/>
      <c r="M160" s="287"/>
      <c r="N160" s="287"/>
      <c r="O160" s="287"/>
      <c r="P160" s="287"/>
      <c r="Q160" s="287">
        <f t="shared" ref="Q160:Q165" si="66">SUM(R160:W160)</f>
        <v>7000</v>
      </c>
      <c r="R160" s="287">
        <v>3000</v>
      </c>
      <c r="S160" s="287"/>
      <c r="T160" s="287">
        <v>4000</v>
      </c>
      <c r="U160" s="287"/>
      <c r="V160" s="287"/>
      <c r="W160" s="287"/>
      <c r="X160" s="238"/>
      <c r="Y160" s="289"/>
      <c r="Z160" s="289"/>
    </row>
    <row r="161" spans="1:26" s="292" customFormat="1" ht="43.15" customHeight="1">
      <c r="A161" s="282"/>
      <c r="B161" s="334" t="s">
        <v>142</v>
      </c>
      <c r="C161" s="284"/>
      <c r="D161" s="284"/>
      <c r="E161" s="284"/>
      <c r="F161" s="284"/>
      <c r="G161" s="287"/>
      <c r="H161" s="287"/>
      <c r="I161" s="287"/>
      <c r="J161" s="287"/>
      <c r="K161" s="287"/>
      <c r="L161" s="287"/>
      <c r="M161" s="287"/>
      <c r="N161" s="287"/>
      <c r="O161" s="287"/>
      <c r="P161" s="287"/>
      <c r="Q161" s="287">
        <f t="shared" si="66"/>
        <v>10000</v>
      </c>
      <c r="R161" s="287">
        <v>4400</v>
      </c>
      <c r="S161" s="287"/>
      <c r="T161" s="287">
        <v>5600</v>
      </c>
      <c r="U161" s="287"/>
      <c r="V161" s="287"/>
      <c r="W161" s="287"/>
      <c r="X161" s="238"/>
      <c r="Y161" s="289"/>
      <c r="Z161" s="289"/>
    </row>
    <row r="162" spans="1:26" s="292" customFormat="1" ht="43.15" customHeight="1">
      <c r="A162" s="282"/>
      <c r="B162" s="334" t="s">
        <v>145</v>
      </c>
      <c r="C162" s="284"/>
      <c r="D162" s="284"/>
      <c r="E162" s="284"/>
      <c r="F162" s="284"/>
      <c r="G162" s="287"/>
      <c r="H162" s="287"/>
      <c r="I162" s="287"/>
      <c r="J162" s="287"/>
      <c r="K162" s="287"/>
      <c r="L162" s="287"/>
      <c r="M162" s="287"/>
      <c r="N162" s="287"/>
      <c r="O162" s="287"/>
      <c r="P162" s="287"/>
      <c r="Q162" s="287">
        <f t="shared" si="66"/>
        <v>10000</v>
      </c>
      <c r="R162" s="287">
        <v>6500</v>
      </c>
      <c r="S162" s="287"/>
      <c r="T162" s="287">
        <v>3500</v>
      </c>
      <c r="U162" s="287"/>
      <c r="V162" s="287"/>
      <c r="W162" s="287"/>
      <c r="X162" s="238"/>
      <c r="Y162" s="289"/>
      <c r="Z162" s="289"/>
    </row>
    <row r="163" spans="1:26" s="292" customFormat="1" ht="43.15" customHeight="1">
      <c r="A163" s="282"/>
      <c r="B163" s="334" t="s">
        <v>139</v>
      </c>
      <c r="C163" s="284"/>
      <c r="D163" s="284"/>
      <c r="E163" s="284"/>
      <c r="F163" s="284"/>
      <c r="G163" s="287"/>
      <c r="H163" s="287"/>
      <c r="I163" s="287"/>
      <c r="J163" s="287"/>
      <c r="K163" s="287"/>
      <c r="L163" s="287"/>
      <c r="M163" s="287"/>
      <c r="N163" s="287"/>
      <c r="O163" s="287"/>
      <c r="P163" s="287"/>
      <c r="Q163" s="287">
        <f t="shared" si="66"/>
        <v>5000</v>
      </c>
      <c r="R163" s="287">
        <v>3500</v>
      </c>
      <c r="S163" s="287"/>
      <c r="T163" s="287">
        <v>1500</v>
      </c>
      <c r="U163" s="287"/>
      <c r="V163" s="287"/>
      <c r="W163" s="287"/>
      <c r="X163" s="238"/>
      <c r="Y163" s="289"/>
      <c r="Z163" s="289"/>
    </row>
    <row r="164" spans="1:26" s="292" customFormat="1" ht="43.15" customHeight="1">
      <c r="A164" s="282"/>
      <c r="B164" s="334" t="s">
        <v>138</v>
      </c>
      <c r="C164" s="284"/>
      <c r="D164" s="284"/>
      <c r="E164" s="284"/>
      <c r="F164" s="284"/>
      <c r="G164" s="287"/>
      <c r="H164" s="287"/>
      <c r="I164" s="287"/>
      <c r="J164" s="287"/>
      <c r="K164" s="287"/>
      <c r="L164" s="287"/>
      <c r="M164" s="287"/>
      <c r="N164" s="287"/>
      <c r="O164" s="287"/>
      <c r="P164" s="287"/>
      <c r="Q164" s="287">
        <f t="shared" si="66"/>
        <v>1600</v>
      </c>
      <c r="R164" s="287">
        <v>1600</v>
      </c>
      <c r="S164" s="287"/>
      <c r="T164" s="287"/>
      <c r="U164" s="287"/>
      <c r="V164" s="287"/>
      <c r="W164" s="287"/>
      <c r="X164" s="238"/>
      <c r="Y164" s="289"/>
      <c r="Z164" s="289"/>
    </row>
    <row r="165" spans="1:26" s="292" customFormat="1" ht="43.15" customHeight="1">
      <c r="A165" s="282"/>
      <c r="B165" s="334" t="s">
        <v>143</v>
      </c>
      <c r="C165" s="284"/>
      <c r="D165" s="284"/>
      <c r="E165" s="284"/>
      <c r="F165" s="284"/>
      <c r="G165" s="287"/>
      <c r="H165" s="287"/>
      <c r="I165" s="287"/>
      <c r="J165" s="287"/>
      <c r="K165" s="287"/>
      <c r="L165" s="287"/>
      <c r="M165" s="287"/>
      <c r="N165" s="287"/>
      <c r="O165" s="287"/>
      <c r="P165" s="287"/>
      <c r="Q165" s="287">
        <f t="shared" si="66"/>
        <v>6000</v>
      </c>
      <c r="R165" s="287">
        <v>3500</v>
      </c>
      <c r="S165" s="287"/>
      <c r="T165" s="287">
        <v>2500</v>
      </c>
      <c r="U165" s="287"/>
      <c r="V165" s="287"/>
      <c r="W165" s="287"/>
      <c r="X165" s="238"/>
      <c r="Y165" s="289"/>
      <c r="Z165" s="289"/>
    </row>
    <row r="166" spans="1:26" s="337" customFormat="1" ht="42.6" customHeight="1">
      <c r="A166" s="242" t="s">
        <v>25</v>
      </c>
      <c r="B166" s="335" t="s">
        <v>132</v>
      </c>
      <c r="C166" s="336"/>
      <c r="D166" s="336"/>
      <c r="E166" s="336"/>
      <c r="F166" s="336"/>
      <c r="G166" s="319">
        <f>G167+G169+G172+G174+G177+G180+G183+G185+G187+G189+G191+G193+G195+G197</f>
        <v>1002440</v>
      </c>
      <c r="H166" s="319">
        <f t="shared" ref="H166:W166" si="67">H167+H169+H172+H174+H177+H180+H183+H185+H187+H189+H191+H193+H195+H197</f>
        <v>0</v>
      </c>
      <c r="I166" s="319">
        <f t="shared" si="67"/>
        <v>18500</v>
      </c>
      <c r="J166" s="319">
        <f t="shared" si="67"/>
        <v>966450</v>
      </c>
      <c r="K166" s="319">
        <f t="shared" si="67"/>
        <v>17490</v>
      </c>
      <c r="L166" s="319">
        <f t="shared" si="67"/>
        <v>216812</v>
      </c>
      <c r="M166" s="319">
        <f t="shared" si="67"/>
        <v>0</v>
      </c>
      <c r="N166" s="319">
        <f t="shared" si="67"/>
        <v>0</v>
      </c>
      <c r="O166" s="319">
        <f t="shared" si="67"/>
        <v>211832</v>
      </c>
      <c r="P166" s="319">
        <f t="shared" si="67"/>
        <v>4980</v>
      </c>
      <c r="Q166" s="319">
        <f t="shared" si="67"/>
        <v>144460</v>
      </c>
      <c r="R166" s="319">
        <f t="shared" si="67"/>
        <v>79460</v>
      </c>
      <c r="S166" s="319">
        <f t="shared" si="67"/>
        <v>0</v>
      </c>
      <c r="T166" s="319">
        <f t="shared" si="67"/>
        <v>65000</v>
      </c>
      <c r="U166" s="319">
        <f t="shared" si="67"/>
        <v>0</v>
      </c>
      <c r="V166" s="319">
        <f t="shared" si="67"/>
        <v>0</v>
      </c>
      <c r="W166" s="319">
        <f t="shared" si="67"/>
        <v>0</v>
      </c>
      <c r="X166" s="336"/>
      <c r="Y166" s="247">
        <f t="shared" si="38"/>
        <v>216812</v>
      </c>
      <c r="Z166" s="247">
        <f t="shared" si="48"/>
        <v>0</v>
      </c>
    </row>
    <row r="167" spans="1:26" s="338" customFormat="1" ht="29.45" customHeight="1">
      <c r="A167" s="249">
        <v>1</v>
      </c>
      <c r="B167" s="309" t="s">
        <v>276</v>
      </c>
      <c r="C167" s="294"/>
      <c r="D167" s="294"/>
      <c r="E167" s="294"/>
      <c r="F167" s="294"/>
      <c r="G167" s="295">
        <f>G168</f>
        <v>3000</v>
      </c>
      <c r="H167" s="295">
        <f t="shared" ref="H167:W167" si="68">H168</f>
        <v>0</v>
      </c>
      <c r="I167" s="295">
        <f t="shared" si="68"/>
        <v>0</v>
      </c>
      <c r="J167" s="295">
        <f t="shared" si="68"/>
        <v>3000</v>
      </c>
      <c r="K167" s="295">
        <f t="shared" si="68"/>
        <v>0</v>
      </c>
      <c r="L167" s="295">
        <f t="shared" si="68"/>
        <v>1800</v>
      </c>
      <c r="M167" s="295"/>
      <c r="N167" s="295">
        <f t="shared" si="68"/>
        <v>0</v>
      </c>
      <c r="O167" s="295">
        <f t="shared" si="68"/>
        <v>1800</v>
      </c>
      <c r="P167" s="295">
        <f t="shared" si="68"/>
        <v>0</v>
      </c>
      <c r="Q167" s="295">
        <f t="shared" si="68"/>
        <v>600</v>
      </c>
      <c r="R167" s="295">
        <f t="shared" si="68"/>
        <v>600</v>
      </c>
      <c r="S167" s="295">
        <f t="shared" si="68"/>
        <v>0</v>
      </c>
      <c r="T167" s="295">
        <f t="shared" si="68"/>
        <v>0</v>
      </c>
      <c r="U167" s="295">
        <f t="shared" si="68"/>
        <v>0</v>
      </c>
      <c r="V167" s="295">
        <f t="shared" si="68"/>
        <v>0</v>
      </c>
      <c r="W167" s="295">
        <f t="shared" si="68"/>
        <v>0</v>
      </c>
      <c r="X167" s="294"/>
      <c r="Y167" s="232">
        <f t="shared" si="38"/>
        <v>1800</v>
      </c>
      <c r="Z167" s="232">
        <f t="shared" si="48"/>
        <v>0</v>
      </c>
    </row>
    <row r="168" spans="1:26" s="235" customFormat="1" ht="31.5">
      <c r="A168" s="254"/>
      <c r="B168" s="304" t="s">
        <v>430</v>
      </c>
      <c r="C168" s="238" t="s">
        <v>155</v>
      </c>
      <c r="D168" s="238" t="s">
        <v>336</v>
      </c>
      <c r="E168" s="238" t="s">
        <v>336</v>
      </c>
      <c r="F168" s="238" t="s">
        <v>467</v>
      </c>
      <c r="G168" s="197">
        <v>3000</v>
      </c>
      <c r="H168" s="197"/>
      <c r="I168" s="197"/>
      <c r="J168" s="197">
        <v>3000</v>
      </c>
      <c r="K168" s="197"/>
      <c r="L168" s="197">
        <v>1800</v>
      </c>
      <c r="M168" s="197"/>
      <c r="N168" s="197"/>
      <c r="O168" s="197">
        <v>1800</v>
      </c>
      <c r="P168" s="197"/>
      <c r="Q168" s="181">
        <f>SUM(R168:W168)</f>
        <v>600</v>
      </c>
      <c r="R168" s="197">
        <v>600</v>
      </c>
      <c r="S168" s="197"/>
      <c r="T168" s="197"/>
      <c r="U168" s="197"/>
      <c r="V168" s="197"/>
      <c r="W168" s="197"/>
      <c r="X168" s="238" t="str">
        <f>B167</f>
        <v>Sở Kế hoạch và đầu tư</v>
      </c>
      <c r="Y168" s="232">
        <f t="shared" si="38"/>
        <v>1800</v>
      </c>
      <c r="Z168" s="232">
        <f t="shared" si="48"/>
        <v>0</v>
      </c>
    </row>
    <row r="169" spans="1:26" s="339" customFormat="1" ht="31.5">
      <c r="A169" s="251">
        <v>2</v>
      </c>
      <c r="B169" s="309" t="s">
        <v>294</v>
      </c>
      <c r="C169" s="251"/>
      <c r="D169" s="251"/>
      <c r="E169" s="251"/>
      <c r="F169" s="251"/>
      <c r="G169" s="253">
        <f>SUM(G170:G171)</f>
        <v>760000</v>
      </c>
      <c r="H169" s="253">
        <f t="shared" ref="H169:W169" si="69">SUM(H170:H171)</f>
        <v>0</v>
      </c>
      <c r="I169" s="253">
        <f t="shared" si="69"/>
        <v>0</v>
      </c>
      <c r="J169" s="253">
        <f t="shared" si="69"/>
        <v>760000</v>
      </c>
      <c r="K169" s="253">
        <f t="shared" si="69"/>
        <v>0</v>
      </c>
      <c r="L169" s="253">
        <f t="shared" si="69"/>
        <v>146582</v>
      </c>
      <c r="M169" s="253">
        <f t="shared" si="69"/>
        <v>0</v>
      </c>
      <c r="N169" s="253">
        <f t="shared" si="69"/>
        <v>0</v>
      </c>
      <c r="O169" s="253">
        <f t="shared" si="69"/>
        <v>146582</v>
      </c>
      <c r="P169" s="253">
        <f t="shared" si="69"/>
        <v>0</v>
      </c>
      <c r="Q169" s="253">
        <f t="shared" si="69"/>
        <v>90000</v>
      </c>
      <c r="R169" s="253">
        <f t="shared" si="69"/>
        <v>40000</v>
      </c>
      <c r="S169" s="253">
        <f t="shared" si="69"/>
        <v>0</v>
      </c>
      <c r="T169" s="253">
        <f t="shared" si="69"/>
        <v>50000</v>
      </c>
      <c r="U169" s="253">
        <f t="shared" si="69"/>
        <v>0</v>
      </c>
      <c r="V169" s="253">
        <f t="shared" si="69"/>
        <v>0</v>
      </c>
      <c r="W169" s="253">
        <f t="shared" si="69"/>
        <v>0</v>
      </c>
      <c r="X169" s="251"/>
      <c r="Y169" s="232">
        <f t="shared" si="38"/>
        <v>146582</v>
      </c>
      <c r="Z169" s="232">
        <f t="shared" si="48"/>
        <v>0</v>
      </c>
    </row>
    <row r="170" spans="1:26" s="235" customFormat="1" ht="49.9" customHeight="1">
      <c r="A170" s="238"/>
      <c r="B170" s="255" t="s">
        <v>676</v>
      </c>
      <c r="C170" s="238" t="s">
        <v>155</v>
      </c>
      <c r="D170" s="238"/>
      <c r="E170" s="238"/>
      <c r="F170" s="256" t="s">
        <v>677</v>
      </c>
      <c r="G170" s="197">
        <v>350000</v>
      </c>
      <c r="H170" s="197"/>
      <c r="I170" s="197"/>
      <c r="J170" s="197">
        <v>350000</v>
      </c>
      <c r="K170" s="197"/>
      <c r="L170" s="197">
        <v>47000</v>
      </c>
      <c r="M170" s="197"/>
      <c r="N170" s="197"/>
      <c r="O170" s="197">
        <v>47000</v>
      </c>
      <c r="P170" s="197"/>
      <c r="Q170" s="181">
        <f>SUM(R170:W170)</f>
        <v>40000</v>
      </c>
      <c r="R170" s="197">
        <v>10000</v>
      </c>
      <c r="S170" s="197"/>
      <c r="T170" s="197">
        <v>30000</v>
      </c>
      <c r="U170" s="197"/>
      <c r="V170" s="197"/>
      <c r="W170" s="197"/>
      <c r="X170" s="260" t="s">
        <v>588</v>
      </c>
      <c r="Y170" s="232"/>
      <c r="Z170" s="232"/>
    </row>
    <row r="171" spans="1:26" s="235" customFormat="1" ht="49.9" customHeight="1">
      <c r="A171" s="238"/>
      <c r="B171" s="255" t="s">
        <v>678</v>
      </c>
      <c r="C171" s="238" t="s">
        <v>155</v>
      </c>
      <c r="D171" s="238"/>
      <c r="E171" s="238"/>
      <c r="F171" s="256" t="s">
        <v>679</v>
      </c>
      <c r="G171" s="197">
        <v>410000</v>
      </c>
      <c r="H171" s="197"/>
      <c r="I171" s="197"/>
      <c r="J171" s="197">
        <v>410000</v>
      </c>
      <c r="K171" s="197"/>
      <c r="L171" s="197">
        <v>99582</v>
      </c>
      <c r="M171" s="197"/>
      <c r="N171" s="197"/>
      <c r="O171" s="197">
        <v>99582</v>
      </c>
      <c r="P171" s="197"/>
      <c r="Q171" s="181">
        <f>SUM(R171:W171)</f>
        <v>50000</v>
      </c>
      <c r="R171" s="197">
        <v>30000</v>
      </c>
      <c r="S171" s="197"/>
      <c r="T171" s="197">
        <v>20000</v>
      </c>
      <c r="U171" s="197"/>
      <c r="V171" s="197"/>
      <c r="W171" s="197"/>
      <c r="X171" s="260" t="s">
        <v>588</v>
      </c>
      <c r="Y171" s="232"/>
      <c r="Z171" s="232"/>
    </row>
    <row r="172" spans="1:26" s="339" customFormat="1" ht="39.6" customHeight="1">
      <c r="A172" s="251">
        <v>3</v>
      </c>
      <c r="B172" s="251" t="s">
        <v>680</v>
      </c>
      <c r="C172" s="251"/>
      <c r="D172" s="251"/>
      <c r="E172" s="251"/>
      <c r="F172" s="251"/>
      <c r="G172" s="253">
        <f>G173</f>
        <v>23500</v>
      </c>
      <c r="H172" s="253">
        <f t="shared" ref="H172:W172" si="70">H173</f>
        <v>0</v>
      </c>
      <c r="I172" s="253">
        <f t="shared" si="70"/>
        <v>18500</v>
      </c>
      <c r="J172" s="253">
        <f t="shared" si="70"/>
        <v>5000</v>
      </c>
      <c r="K172" s="253">
        <f t="shared" si="70"/>
        <v>0</v>
      </c>
      <c r="L172" s="253">
        <f t="shared" si="70"/>
        <v>0</v>
      </c>
      <c r="M172" s="253">
        <f t="shared" si="70"/>
        <v>0</v>
      </c>
      <c r="N172" s="253">
        <f t="shared" si="70"/>
        <v>0</v>
      </c>
      <c r="O172" s="253">
        <f t="shared" si="70"/>
        <v>0</v>
      </c>
      <c r="P172" s="253">
        <f t="shared" si="70"/>
        <v>0</v>
      </c>
      <c r="Q172" s="253">
        <f t="shared" si="70"/>
        <v>5000</v>
      </c>
      <c r="R172" s="253">
        <f t="shared" si="70"/>
        <v>5000</v>
      </c>
      <c r="S172" s="253">
        <f t="shared" si="70"/>
        <v>0</v>
      </c>
      <c r="T172" s="253">
        <f t="shared" si="70"/>
        <v>0</v>
      </c>
      <c r="U172" s="253">
        <f t="shared" si="70"/>
        <v>0</v>
      </c>
      <c r="V172" s="253">
        <f t="shared" si="70"/>
        <v>0</v>
      </c>
      <c r="W172" s="253">
        <f t="shared" si="70"/>
        <v>0</v>
      </c>
      <c r="X172" s="251"/>
      <c r="Y172" s="277"/>
      <c r="Z172" s="277"/>
    </row>
    <row r="173" spans="1:26" s="235" customFormat="1" ht="96.6" customHeight="1">
      <c r="A173" s="238"/>
      <c r="B173" s="255" t="s">
        <v>681</v>
      </c>
      <c r="C173" s="238" t="s">
        <v>155</v>
      </c>
      <c r="D173" s="238"/>
      <c r="E173" s="238"/>
      <c r="F173" s="256" t="s">
        <v>682</v>
      </c>
      <c r="G173" s="197">
        <v>23500</v>
      </c>
      <c r="H173" s="197"/>
      <c r="I173" s="197">
        <v>18500</v>
      </c>
      <c r="J173" s="197">
        <v>5000</v>
      </c>
      <c r="K173" s="197"/>
      <c r="L173" s="197"/>
      <c r="M173" s="197"/>
      <c r="N173" s="197"/>
      <c r="O173" s="197"/>
      <c r="P173" s="197"/>
      <c r="Q173" s="181">
        <f>SUM(R173:W173)</f>
        <v>5000</v>
      </c>
      <c r="R173" s="197">
        <v>5000</v>
      </c>
      <c r="S173" s="197"/>
      <c r="T173" s="197"/>
      <c r="U173" s="197"/>
      <c r="V173" s="197"/>
      <c r="W173" s="197"/>
      <c r="X173" s="238" t="s">
        <v>680</v>
      </c>
      <c r="Y173" s="232"/>
      <c r="Z173" s="232"/>
    </row>
    <row r="174" spans="1:26" s="235" customFormat="1" ht="39" customHeight="1">
      <c r="A174" s="273">
        <v>4</v>
      </c>
      <c r="B174" s="274" t="s">
        <v>683</v>
      </c>
      <c r="C174" s="251"/>
      <c r="D174" s="252"/>
      <c r="E174" s="252"/>
      <c r="F174" s="275"/>
      <c r="G174" s="276">
        <f>G175+G176</f>
        <v>19490</v>
      </c>
      <c r="H174" s="276">
        <f t="shared" ref="H174:W174" si="71">H175+H176</f>
        <v>0</v>
      </c>
      <c r="I174" s="276">
        <f t="shared" si="71"/>
        <v>0</v>
      </c>
      <c r="J174" s="276">
        <f t="shared" si="71"/>
        <v>17690</v>
      </c>
      <c r="K174" s="276">
        <f t="shared" si="71"/>
        <v>1800</v>
      </c>
      <c r="L174" s="276">
        <f>L175+L176</f>
        <v>7500</v>
      </c>
      <c r="M174" s="276">
        <f t="shared" si="71"/>
        <v>0</v>
      </c>
      <c r="N174" s="276">
        <f t="shared" si="71"/>
        <v>0</v>
      </c>
      <c r="O174" s="276">
        <f t="shared" si="71"/>
        <v>7000</v>
      </c>
      <c r="P174" s="276">
        <f t="shared" si="71"/>
        <v>500</v>
      </c>
      <c r="Q174" s="276">
        <f t="shared" si="71"/>
        <v>4700</v>
      </c>
      <c r="R174" s="276">
        <f t="shared" si="71"/>
        <v>4700</v>
      </c>
      <c r="S174" s="276">
        <f t="shared" si="71"/>
        <v>0</v>
      </c>
      <c r="T174" s="276">
        <f t="shared" si="71"/>
        <v>0</v>
      </c>
      <c r="U174" s="276">
        <f t="shared" si="71"/>
        <v>0</v>
      </c>
      <c r="V174" s="276">
        <f t="shared" si="71"/>
        <v>0</v>
      </c>
      <c r="W174" s="276">
        <f t="shared" si="71"/>
        <v>0</v>
      </c>
      <c r="X174" s="251"/>
      <c r="Y174" s="232" t="e">
        <f>#REF!+#REF!+#REF!</f>
        <v>#REF!</v>
      </c>
      <c r="Z174" s="232" t="e">
        <f>#REF!-Y174</f>
        <v>#REF!</v>
      </c>
    </row>
    <row r="175" spans="1:26" s="235" customFormat="1" ht="55.15" customHeight="1">
      <c r="A175" s="266"/>
      <c r="B175" s="255" t="s">
        <v>684</v>
      </c>
      <c r="C175" s="238" t="s">
        <v>156</v>
      </c>
      <c r="D175" s="239"/>
      <c r="E175" s="239"/>
      <c r="F175" s="256" t="s">
        <v>685</v>
      </c>
      <c r="G175" s="257">
        <f>SUM(H175:K175)</f>
        <v>14990</v>
      </c>
      <c r="H175" s="197"/>
      <c r="I175" s="197"/>
      <c r="J175" s="197">
        <v>14990</v>
      </c>
      <c r="K175" s="267"/>
      <c r="L175" s="197">
        <f>SUM(M175:P175)</f>
        <v>5000</v>
      </c>
      <c r="M175" s="197"/>
      <c r="N175" s="197"/>
      <c r="O175" s="197">
        <v>5000</v>
      </c>
      <c r="P175" s="197"/>
      <c r="Q175" s="181">
        <f>SUM(R175:W175)</f>
        <v>4000</v>
      </c>
      <c r="R175" s="181">
        <v>4000</v>
      </c>
      <c r="S175" s="181"/>
      <c r="T175" s="181"/>
      <c r="U175" s="181"/>
      <c r="V175" s="181"/>
      <c r="W175" s="181"/>
      <c r="X175" s="260" t="s">
        <v>683</v>
      </c>
      <c r="Y175" s="232" t="e">
        <f>#REF!+#REF!+#REF!</f>
        <v>#REF!</v>
      </c>
      <c r="Z175" s="232" t="e">
        <f>#REF!-Y175</f>
        <v>#REF!</v>
      </c>
    </row>
    <row r="176" spans="1:26" s="235" customFormat="1" ht="39" customHeight="1">
      <c r="A176" s="266"/>
      <c r="B176" s="304" t="s">
        <v>686</v>
      </c>
      <c r="C176" s="256" t="s">
        <v>156</v>
      </c>
      <c r="D176" s="239"/>
      <c r="E176" s="239"/>
      <c r="F176" s="256" t="s">
        <v>687</v>
      </c>
      <c r="G176" s="257">
        <f t="shared" ref="G176:G188" si="72">SUM(H176:K176)</f>
        <v>4500</v>
      </c>
      <c r="H176" s="197"/>
      <c r="I176" s="197"/>
      <c r="J176" s="197">
        <v>2700</v>
      </c>
      <c r="K176" s="267">
        <v>1800</v>
      </c>
      <c r="L176" s="197">
        <f>SUM(M176:P176)</f>
        <v>2500</v>
      </c>
      <c r="M176" s="197"/>
      <c r="N176" s="197"/>
      <c r="O176" s="197">
        <v>2000</v>
      </c>
      <c r="P176" s="197">
        <v>500</v>
      </c>
      <c r="Q176" s="181">
        <f t="shared" ref="Q176:Q188" si="73">SUM(R176:W176)</f>
        <v>700</v>
      </c>
      <c r="R176" s="181">
        <v>700</v>
      </c>
      <c r="S176" s="181"/>
      <c r="T176" s="181"/>
      <c r="U176" s="181"/>
      <c r="V176" s="181"/>
      <c r="W176" s="181"/>
      <c r="X176" s="260" t="s">
        <v>683</v>
      </c>
      <c r="Y176" s="232"/>
      <c r="Z176" s="232"/>
    </row>
    <row r="177" spans="1:26" s="339" customFormat="1" ht="39" customHeight="1">
      <c r="A177" s="273">
        <v>5</v>
      </c>
      <c r="B177" s="275" t="s">
        <v>688</v>
      </c>
      <c r="C177" s="251"/>
      <c r="D177" s="252"/>
      <c r="E177" s="252"/>
      <c r="F177" s="275"/>
      <c r="G177" s="276">
        <f>G178+G179</f>
        <v>12500</v>
      </c>
      <c r="H177" s="276">
        <f t="shared" ref="H177:W177" si="74">H178+H179</f>
        <v>0</v>
      </c>
      <c r="I177" s="276">
        <f t="shared" si="74"/>
        <v>0</v>
      </c>
      <c r="J177" s="276">
        <f t="shared" si="74"/>
        <v>6900</v>
      </c>
      <c r="K177" s="276">
        <f t="shared" si="74"/>
        <v>5600</v>
      </c>
      <c r="L177" s="276">
        <f t="shared" si="74"/>
        <v>8250</v>
      </c>
      <c r="M177" s="276">
        <f t="shared" si="74"/>
        <v>0</v>
      </c>
      <c r="N177" s="276">
        <f t="shared" si="74"/>
        <v>0</v>
      </c>
      <c r="O177" s="276">
        <f t="shared" si="74"/>
        <v>5000</v>
      </c>
      <c r="P177" s="276">
        <f t="shared" si="74"/>
        <v>3250</v>
      </c>
      <c r="Q177" s="276">
        <f t="shared" si="74"/>
        <v>1900</v>
      </c>
      <c r="R177" s="276">
        <f t="shared" si="74"/>
        <v>1900</v>
      </c>
      <c r="S177" s="276">
        <f t="shared" si="74"/>
        <v>0</v>
      </c>
      <c r="T177" s="276">
        <f t="shared" si="74"/>
        <v>0</v>
      </c>
      <c r="U177" s="276">
        <f t="shared" si="74"/>
        <v>0</v>
      </c>
      <c r="V177" s="276">
        <f t="shared" si="74"/>
        <v>0</v>
      </c>
      <c r="W177" s="276">
        <f t="shared" si="74"/>
        <v>0</v>
      </c>
      <c r="X177" s="274"/>
      <c r="Y177" s="277"/>
      <c r="Z177" s="277"/>
    </row>
    <row r="178" spans="1:26" s="235" customFormat="1" ht="39" customHeight="1">
      <c r="A178" s="266"/>
      <c r="B178" s="304" t="s">
        <v>689</v>
      </c>
      <c r="C178" s="256" t="s">
        <v>168</v>
      </c>
      <c r="D178" s="304"/>
      <c r="E178" s="304"/>
      <c r="F178" s="256" t="s">
        <v>690</v>
      </c>
      <c r="G178" s="257">
        <f t="shared" si="72"/>
        <v>6000</v>
      </c>
      <c r="H178" s="256"/>
      <c r="I178" s="197"/>
      <c r="J178" s="325">
        <v>3000</v>
      </c>
      <c r="K178" s="325">
        <v>3000</v>
      </c>
      <c r="L178" s="197">
        <f>SUM(M178:P178)</f>
        <v>4250</v>
      </c>
      <c r="M178" s="197"/>
      <c r="N178" s="197"/>
      <c r="O178" s="197">
        <v>2500</v>
      </c>
      <c r="P178" s="197">
        <v>1750</v>
      </c>
      <c r="Q178" s="181">
        <f t="shared" si="73"/>
        <v>500</v>
      </c>
      <c r="R178" s="181">
        <v>500</v>
      </c>
      <c r="S178" s="181"/>
      <c r="T178" s="181"/>
      <c r="U178" s="181"/>
      <c r="V178" s="181"/>
      <c r="W178" s="181"/>
      <c r="X178" s="260" t="s">
        <v>688</v>
      </c>
      <c r="Y178" s="232"/>
      <c r="Z178" s="232"/>
    </row>
    <row r="179" spans="1:26" s="235" customFormat="1" ht="39" customHeight="1">
      <c r="A179" s="266"/>
      <c r="B179" s="304" t="s">
        <v>691</v>
      </c>
      <c r="C179" s="256" t="s">
        <v>168</v>
      </c>
      <c r="D179" s="304"/>
      <c r="E179" s="304"/>
      <c r="F179" s="256" t="s">
        <v>692</v>
      </c>
      <c r="G179" s="257">
        <f t="shared" si="72"/>
        <v>6500</v>
      </c>
      <c r="H179" s="256"/>
      <c r="I179" s="197"/>
      <c r="J179" s="325">
        <v>3900</v>
      </c>
      <c r="K179" s="325">
        <v>2600</v>
      </c>
      <c r="L179" s="197">
        <f>SUM(M179:P179)</f>
        <v>4000</v>
      </c>
      <c r="M179" s="197"/>
      <c r="N179" s="197"/>
      <c r="O179" s="197">
        <v>2500</v>
      </c>
      <c r="P179" s="197">
        <v>1500</v>
      </c>
      <c r="Q179" s="181">
        <f t="shared" si="73"/>
        <v>1400</v>
      </c>
      <c r="R179" s="181">
        <v>1400</v>
      </c>
      <c r="S179" s="181"/>
      <c r="T179" s="181"/>
      <c r="U179" s="181"/>
      <c r="V179" s="181"/>
      <c r="W179" s="181"/>
      <c r="X179" s="260" t="s">
        <v>688</v>
      </c>
      <c r="Y179" s="232"/>
      <c r="Z179" s="232"/>
    </row>
    <row r="180" spans="1:26" s="339" customFormat="1" ht="39" customHeight="1">
      <c r="A180" s="273">
        <v>6</v>
      </c>
      <c r="B180" s="275" t="s">
        <v>550</v>
      </c>
      <c r="C180" s="251"/>
      <c r="D180" s="252"/>
      <c r="E180" s="252"/>
      <c r="F180" s="275"/>
      <c r="G180" s="276">
        <f>G181+G182</f>
        <v>13900</v>
      </c>
      <c r="H180" s="276">
        <f t="shared" ref="H180:W180" si="75">H181+H182</f>
        <v>0</v>
      </c>
      <c r="I180" s="276">
        <f t="shared" si="75"/>
        <v>0</v>
      </c>
      <c r="J180" s="276">
        <f t="shared" si="75"/>
        <v>8340</v>
      </c>
      <c r="K180" s="276">
        <f t="shared" si="75"/>
        <v>5560</v>
      </c>
      <c r="L180" s="276">
        <f t="shared" si="75"/>
        <v>6000</v>
      </c>
      <c r="M180" s="276">
        <f t="shared" si="75"/>
        <v>0</v>
      </c>
      <c r="N180" s="276">
        <f t="shared" si="75"/>
        <v>0</v>
      </c>
      <c r="O180" s="276">
        <f t="shared" si="75"/>
        <v>6000</v>
      </c>
      <c r="P180" s="276">
        <f t="shared" si="75"/>
        <v>0</v>
      </c>
      <c r="Q180" s="276">
        <f t="shared" si="75"/>
        <v>2340</v>
      </c>
      <c r="R180" s="276">
        <f t="shared" si="75"/>
        <v>2340</v>
      </c>
      <c r="S180" s="276">
        <f t="shared" si="75"/>
        <v>0</v>
      </c>
      <c r="T180" s="276">
        <f t="shared" si="75"/>
        <v>0</v>
      </c>
      <c r="U180" s="276">
        <f t="shared" si="75"/>
        <v>0</v>
      </c>
      <c r="V180" s="276">
        <f t="shared" si="75"/>
        <v>0</v>
      </c>
      <c r="W180" s="276">
        <f t="shared" si="75"/>
        <v>0</v>
      </c>
      <c r="X180" s="274"/>
      <c r="Y180" s="277"/>
      <c r="Z180" s="277"/>
    </row>
    <row r="181" spans="1:26" s="235" customFormat="1" ht="39" customHeight="1">
      <c r="A181" s="266"/>
      <c r="B181" s="304" t="s">
        <v>693</v>
      </c>
      <c r="C181" s="256" t="s">
        <v>159</v>
      </c>
      <c r="D181" s="239"/>
      <c r="E181" s="239"/>
      <c r="F181" s="256" t="s">
        <v>694</v>
      </c>
      <c r="G181" s="257">
        <f t="shared" si="72"/>
        <v>6400</v>
      </c>
      <c r="H181" s="197"/>
      <c r="I181" s="197"/>
      <c r="J181" s="197">
        <v>3840</v>
      </c>
      <c r="K181" s="267">
        <v>2560</v>
      </c>
      <c r="L181" s="197">
        <f>SUM(M181:P181)</f>
        <v>3000</v>
      </c>
      <c r="M181" s="197"/>
      <c r="N181" s="197"/>
      <c r="O181" s="197">
        <v>3000</v>
      </c>
      <c r="P181" s="197"/>
      <c r="Q181" s="181">
        <f t="shared" si="73"/>
        <v>840</v>
      </c>
      <c r="R181" s="181">
        <v>840</v>
      </c>
      <c r="S181" s="181"/>
      <c r="T181" s="181"/>
      <c r="U181" s="181"/>
      <c r="V181" s="181"/>
      <c r="W181" s="181"/>
      <c r="X181" s="288" t="s">
        <v>581</v>
      </c>
      <c r="Y181" s="232"/>
      <c r="Z181" s="232"/>
    </row>
    <row r="182" spans="1:26" s="235" customFormat="1" ht="39" customHeight="1">
      <c r="A182" s="266"/>
      <c r="B182" s="304" t="s">
        <v>695</v>
      </c>
      <c r="C182" s="256" t="s">
        <v>159</v>
      </c>
      <c r="D182" s="239"/>
      <c r="E182" s="239"/>
      <c r="F182" s="256" t="s">
        <v>696</v>
      </c>
      <c r="G182" s="257">
        <f t="shared" si="72"/>
        <v>7500</v>
      </c>
      <c r="H182" s="197"/>
      <c r="I182" s="197"/>
      <c r="J182" s="197">
        <v>4500</v>
      </c>
      <c r="K182" s="267">
        <v>3000</v>
      </c>
      <c r="L182" s="197">
        <f>SUM(M182:P182)</f>
        <v>3000</v>
      </c>
      <c r="M182" s="197"/>
      <c r="N182" s="197"/>
      <c r="O182" s="197">
        <v>3000</v>
      </c>
      <c r="P182" s="197"/>
      <c r="Q182" s="181">
        <f t="shared" si="73"/>
        <v>1500</v>
      </c>
      <c r="R182" s="181">
        <v>1500</v>
      </c>
      <c r="S182" s="181"/>
      <c r="T182" s="181"/>
      <c r="U182" s="181"/>
      <c r="V182" s="181"/>
      <c r="W182" s="181"/>
      <c r="X182" s="288" t="s">
        <v>581</v>
      </c>
      <c r="Y182" s="232"/>
      <c r="Z182" s="232"/>
    </row>
    <row r="183" spans="1:26" s="339" customFormat="1" ht="39" customHeight="1">
      <c r="A183" s="273">
        <v>7</v>
      </c>
      <c r="B183" s="275" t="s">
        <v>697</v>
      </c>
      <c r="C183" s="251"/>
      <c r="D183" s="252"/>
      <c r="E183" s="252"/>
      <c r="F183" s="275"/>
      <c r="G183" s="276">
        <f>G184</f>
        <v>6000</v>
      </c>
      <c r="H183" s="276">
        <f t="shared" ref="H183:W183" si="76">H184</f>
        <v>0</v>
      </c>
      <c r="I183" s="276">
        <f t="shared" si="76"/>
        <v>0</v>
      </c>
      <c r="J183" s="276">
        <f t="shared" si="76"/>
        <v>3000</v>
      </c>
      <c r="K183" s="276">
        <f t="shared" si="76"/>
        <v>3000</v>
      </c>
      <c r="L183" s="276">
        <f t="shared" si="76"/>
        <v>2900</v>
      </c>
      <c r="M183" s="276">
        <f t="shared" si="76"/>
        <v>0</v>
      </c>
      <c r="N183" s="276">
        <f t="shared" si="76"/>
        <v>0</v>
      </c>
      <c r="O183" s="276">
        <f t="shared" si="76"/>
        <v>2400</v>
      </c>
      <c r="P183" s="276">
        <f t="shared" si="76"/>
        <v>500</v>
      </c>
      <c r="Q183" s="276">
        <f t="shared" si="76"/>
        <v>600</v>
      </c>
      <c r="R183" s="276">
        <f t="shared" si="76"/>
        <v>600</v>
      </c>
      <c r="S183" s="276">
        <f t="shared" si="76"/>
        <v>0</v>
      </c>
      <c r="T183" s="276">
        <f t="shared" si="76"/>
        <v>0</v>
      </c>
      <c r="U183" s="276">
        <f t="shared" si="76"/>
        <v>0</v>
      </c>
      <c r="V183" s="276">
        <f t="shared" si="76"/>
        <v>0</v>
      </c>
      <c r="W183" s="276">
        <f t="shared" si="76"/>
        <v>0</v>
      </c>
      <c r="X183" s="274"/>
      <c r="Y183" s="277"/>
      <c r="Z183" s="277"/>
    </row>
    <row r="184" spans="1:26" s="235" customFormat="1" ht="39" customHeight="1">
      <c r="A184" s="266"/>
      <c r="B184" s="304" t="s">
        <v>698</v>
      </c>
      <c r="C184" s="256" t="s">
        <v>160</v>
      </c>
      <c r="D184" s="239"/>
      <c r="E184" s="239"/>
      <c r="F184" s="256" t="s">
        <v>699</v>
      </c>
      <c r="G184" s="257">
        <f t="shared" si="72"/>
        <v>6000</v>
      </c>
      <c r="H184" s="197"/>
      <c r="I184" s="197"/>
      <c r="J184" s="197">
        <v>3000</v>
      </c>
      <c r="K184" s="267">
        <v>3000</v>
      </c>
      <c r="L184" s="197">
        <f>SUM(M184:P184)</f>
        <v>2900</v>
      </c>
      <c r="M184" s="197"/>
      <c r="N184" s="197"/>
      <c r="O184" s="197">
        <v>2400</v>
      </c>
      <c r="P184" s="197">
        <v>500</v>
      </c>
      <c r="Q184" s="181">
        <f t="shared" si="73"/>
        <v>600</v>
      </c>
      <c r="R184" s="181">
        <v>600</v>
      </c>
      <c r="S184" s="181"/>
      <c r="T184" s="181"/>
      <c r="U184" s="181"/>
      <c r="V184" s="181"/>
      <c r="W184" s="181"/>
      <c r="X184" s="256" t="s">
        <v>697</v>
      </c>
      <c r="Y184" s="232"/>
      <c r="Z184" s="232"/>
    </row>
    <row r="185" spans="1:26" s="339" customFormat="1" ht="39" customHeight="1">
      <c r="A185" s="273">
        <v>8</v>
      </c>
      <c r="B185" s="275" t="s">
        <v>700</v>
      </c>
      <c r="C185" s="251"/>
      <c r="D185" s="252"/>
      <c r="E185" s="252"/>
      <c r="F185" s="275"/>
      <c r="G185" s="276">
        <f>G186</f>
        <v>8000</v>
      </c>
      <c r="H185" s="276">
        <f t="shared" ref="H185:W185" si="77">H186</f>
        <v>0</v>
      </c>
      <c r="I185" s="276">
        <f t="shared" si="77"/>
        <v>0</v>
      </c>
      <c r="J185" s="276">
        <f t="shared" si="77"/>
        <v>7200</v>
      </c>
      <c r="K185" s="276">
        <f t="shared" si="77"/>
        <v>800</v>
      </c>
      <c r="L185" s="276">
        <f t="shared" si="77"/>
        <v>6500</v>
      </c>
      <c r="M185" s="276">
        <f t="shared" si="77"/>
        <v>0</v>
      </c>
      <c r="N185" s="276">
        <f t="shared" si="77"/>
        <v>0</v>
      </c>
      <c r="O185" s="276">
        <f t="shared" si="77"/>
        <v>6500</v>
      </c>
      <c r="P185" s="276">
        <f t="shared" si="77"/>
        <v>0</v>
      </c>
      <c r="Q185" s="276">
        <f t="shared" si="77"/>
        <v>700</v>
      </c>
      <c r="R185" s="276">
        <f t="shared" si="77"/>
        <v>700</v>
      </c>
      <c r="S185" s="276">
        <f t="shared" si="77"/>
        <v>0</v>
      </c>
      <c r="T185" s="276">
        <f t="shared" si="77"/>
        <v>0</v>
      </c>
      <c r="U185" s="276">
        <f t="shared" si="77"/>
        <v>0</v>
      </c>
      <c r="V185" s="276">
        <f t="shared" si="77"/>
        <v>0</v>
      </c>
      <c r="W185" s="276">
        <f t="shared" si="77"/>
        <v>0</v>
      </c>
      <c r="X185" s="274"/>
      <c r="Y185" s="277"/>
      <c r="Z185" s="277"/>
    </row>
    <row r="186" spans="1:26" s="235" customFormat="1" ht="39" customHeight="1">
      <c r="A186" s="266"/>
      <c r="B186" s="304" t="s">
        <v>701</v>
      </c>
      <c r="C186" s="256" t="s">
        <v>167</v>
      </c>
      <c r="D186" s="239"/>
      <c r="E186" s="239"/>
      <c r="F186" s="256" t="s">
        <v>702</v>
      </c>
      <c r="G186" s="257">
        <f t="shared" si="72"/>
        <v>8000</v>
      </c>
      <c r="H186" s="197"/>
      <c r="I186" s="197"/>
      <c r="J186" s="197">
        <v>7200</v>
      </c>
      <c r="K186" s="267">
        <v>800</v>
      </c>
      <c r="L186" s="197">
        <f>SUM(M186:P186)</f>
        <v>6500</v>
      </c>
      <c r="M186" s="197"/>
      <c r="N186" s="197"/>
      <c r="O186" s="197">
        <v>6500</v>
      </c>
      <c r="P186" s="197"/>
      <c r="Q186" s="181">
        <f t="shared" si="73"/>
        <v>700</v>
      </c>
      <c r="R186" s="181">
        <v>700</v>
      </c>
      <c r="S186" s="181"/>
      <c r="T186" s="181"/>
      <c r="U186" s="181"/>
      <c r="V186" s="181"/>
      <c r="W186" s="181"/>
      <c r="X186" s="238" t="s">
        <v>283</v>
      </c>
      <c r="Y186" s="232"/>
      <c r="Z186" s="232"/>
    </row>
    <row r="187" spans="1:26" s="339" customFormat="1" ht="39" customHeight="1">
      <c r="A187" s="273">
        <v>9</v>
      </c>
      <c r="B187" s="275" t="s">
        <v>703</v>
      </c>
      <c r="C187" s="251"/>
      <c r="D187" s="252"/>
      <c r="E187" s="252"/>
      <c r="F187" s="275"/>
      <c r="G187" s="276">
        <f>G188</f>
        <v>7300</v>
      </c>
      <c r="H187" s="276">
        <f t="shared" ref="H187:W187" si="78">H188</f>
        <v>0</v>
      </c>
      <c r="I187" s="276">
        <f t="shared" si="78"/>
        <v>0</v>
      </c>
      <c r="J187" s="276">
        <f t="shared" si="78"/>
        <v>6570</v>
      </c>
      <c r="K187" s="276">
        <f t="shared" si="78"/>
        <v>730</v>
      </c>
      <c r="L187" s="276">
        <f t="shared" si="78"/>
        <v>3230</v>
      </c>
      <c r="M187" s="276">
        <f t="shared" si="78"/>
        <v>0</v>
      </c>
      <c r="N187" s="276">
        <f t="shared" si="78"/>
        <v>0</v>
      </c>
      <c r="O187" s="276">
        <f t="shared" si="78"/>
        <v>2500</v>
      </c>
      <c r="P187" s="276">
        <f t="shared" si="78"/>
        <v>730</v>
      </c>
      <c r="Q187" s="276">
        <f t="shared" si="78"/>
        <v>4070</v>
      </c>
      <c r="R187" s="276">
        <f t="shared" si="78"/>
        <v>4070</v>
      </c>
      <c r="S187" s="276">
        <f t="shared" si="78"/>
        <v>0</v>
      </c>
      <c r="T187" s="276">
        <f t="shared" si="78"/>
        <v>0</v>
      </c>
      <c r="U187" s="276">
        <f t="shared" si="78"/>
        <v>0</v>
      </c>
      <c r="V187" s="276">
        <f t="shared" si="78"/>
        <v>0</v>
      </c>
      <c r="W187" s="276">
        <f t="shared" si="78"/>
        <v>0</v>
      </c>
      <c r="X187" s="274"/>
      <c r="Y187" s="277"/>
      <c r="Z187" s="277"/>
    </row>
    <row r="188" spans="1:26" s="235" customFormat="1" ht="39" customHeight="1">
      <c r="A188" s="266"/>
      <c r="B188" s="304" t="s">
        <v>704</v>
      </c>
      <c r="C188" s="256" t="s">
        <v>166</v>
      </c>
      <c r="D188" s="239"/>
      <c r="E188" s="239"/>
      <c r="F188" s="256" t="s">
        <v>705</v>
      </c>
      <c r="G188" s="257">
        <f t="shared" si="72"/>
        <v>7300</v>
      </c>
      <c r="H188" s="197"/>
      <c r="I188" s="197"/>
      <c r="J188" s="197">
        <v>6570</v>
      </c>
      <c r="K188" s="267">
        <v>730</v>
      </c>
      <c r="L188" s="197">
        <f>SUM(M188:P188)</f>
        <v>3230</v>
      </c>
      <c r="M188" s="197"/>
      <c r="N188" s="197"/>
      <c r="O188" s="197">
        <v>2500</v>
      </c>
      <c r="P188" s="197">
        <v>730</v>
      </c>
      <c r="Q188" s="181">
        <f t="shared" si="73"/>
        <v>4070</v>
      </c>
      <c r="R188" s="181">
        <v>4070</v>
      </c>
      <c r="S188" s="181"/>
      <c r="T188" s="181"/>
      <c r="U188" s="181"/>
      <c r="V188" s="181"/>
      <c r="W188" s="181"/>
      <c r="X188" s="238" t="s">
        <v>288</v>
      </c>
      <c r="Y188" s="232"/>
      <c r="Z188" s="232"/>
    </row>
    <row r="189" spans="1:26" s="339" customFormat="1" ht="39" customHeight="1">
      <c r="A189" s="249">
        <v>10</v>
      </c>
      <c r="B189" s="303" t="s">
        <v>706</v>
      </c>
      <c r="C189" s="251"/>
      <c r="D189" s="251"/>
      <c r="E189" s="251"/>
      <c r="F189" s="251"/>
      <c r="G189" s="253">
        <f>G190</f>
        <v>25000</v>
      </c>
      <c r="H189" s="253">
        <f t="shared" ref="H189:W189" si="79">H190</f>
        <v>0</v>
      </c>
      <c r="I189" s="253">
        <f t="shared" si="79"/>
        <v>0</v>
      </c>
      <c r="J189" s="253">
        <f t="shared" si="79"/>
        <v>25000</v>
      </c>
      <c r="K189" s="253">
        <f t="shared" si="79"/>
        <v>0</v>
      </c>
      <c r="L189" s="253">
        <f t="shared" si="79"/>
        <v>850</v>
      </c>
      <c r="M189" s="253">
        <f t="shared" si="79"/>
        <v>0</v>
      </c>
      <c r="N189" s="253">
        <f t="shared" si="79"/>
        <v>0</v>
      </c>
      <c r="O189" s="253">
        <f t="shared" si="79"/>
        <v>850</v>
      </c>
      <c r="P189" s="253">
        <f t="shared" si="79"/>
        <v>0</v>
      </c>
      <c r="Q189" s="253">
        <f t="shared" si="79"/>
        <v>10000</v>
      </c>
      <c r="R189" s="253">
        <f t="shared" si="79"/>
        <v>10000</v>
      </c>
      <c r="S189" s="253">
        <f t="shared" si="79"/>
        <v>0</v>
      </c>
      <c r="T189" s="253">
        <f t="shared" si="79"/>
        <v>0</v>
      </c>
      <c r="U189" s="253">
        <f t="shared" si="79"/>
        <v>0</v>
      </c>
      <c r="V189" s="253">
        <f t="shared" si="79"/>
        <v>0</v>
      </c>
      <c r="W189" s="253">
        <f t="shared" si="79"/>
        <v>0</v>
      </c>
      <c r="X189" s="251"/>
      <c r="Y189" s="277"/>
      <c r="Z189" s="277"/>
    </row>
    <row r="190" spans="1:26" s="235" customFormat="1" ht="39" customHeight="1">
      <c r="A190" s="254"/>
      <c r="B190" s="324" t="s">
        <v>707</v>
      </c>
      <c r="C190" s="256" t="s">
        <v>159</v>
      </c>
      <c r="D190" s="238"/>
      <c r="E190" s="238"/>
      <c r="F190" s="260" t="s">
        <v>708</v>
      </c>
      <c r="G190" s="197">
        <v>25000</v>
      </c>
      <c r="H190" s="197"/>
      <c r="I190" s="197"/>
      <c r="J190" s="197">
        <v>25000</v>
      </c>
      <c r="K190" s="197"/>
      <c r="L190" s="197">
        <v>850</v>
      </c>
      <c r="M190" s="197"/>
      <c r="N190" s="197"/>
      <c r="O190" s="197">
        <v>850</v>
      </c>
      <c r="P190" s="197"/>
      <c r="Q190" s="181">
        <f>SUM(R190:W190)</f>
        <v>10000</v>
      </c>
      <c r="R190" s="197">
        <v>10000</v>
      </c>
      <c r="S190" s="197"/>
      <c r="T190" s="197"/>
      <c r="U190" s="197"/>
      <c r="V190" s="197"/>
      <c r="W190" s="197"/>
      <c r="X190" s="260" t="s">
        <v>706</v>
      </c>
      <c r="Y190" s="232"/>
      <c r="Z190" s="232"/>
    </row>
    <row r="191" spans="1:26" s="343" customFormat="1" ht="39" customHeight="1">
      <c r="A191" s="340">
        <v>11</v>
      </c>
      <c r="B191" s="309" t="s">
        <v>536</v>
      </c>
      <c r="C191" s="341"/>
      <c r="D191" s="309"/>
      <c r="E191" s="309"/>
      <c r="F191" s="303"/>
      <c r="G191" s="253">
        <f>G192</f>
        <v>5250</v>
      </c>
      <c r="H191" s="253">
        <f t="shared" ref="H191:W191" si="80">H192</f>
        <v>0</v>
      </c>
      <c r="I191" s="253">
        <f t="shared" si="80"/>
        <v>0</v>
      </c>
      <c r="J191" s="253">
        <f t="shared" si="80"/>
        <v>5250</v>
      </c>
      <c r="K191" s="340">
        <f t="shared" si="80"/>
        <v>0</v>
      </c>
      <c r="L191" s="340">
        <f t="shared" si="80"/>
        <v>4000</v>
      </c>
      <c r="M191" s="340">
        <f t="shared" si="80"/>
        <v>0</v>
      </c>
      <c r="N191" s="340">
        <f t="shared" si="80"/>
        <v>0</v>
      </c>
      <c r="O191" s="253">
        <f t="shared" si="80"/>
        <v>4000</v>
      </c>
      <c r="P191" s="340">
        <f t="shared" si="80"/>
        <v>0</v>
      </c>
      <c r="Q191" s="340">
        <f t="shared" si="80"/>
        <v>1250</v>
      </c>
      <c r="R191" s="253">
        <f t="shared" si="80"/>
        <v>1250</v>
      </c>
      <c r="S191" s="340">
        <f t="shared" si="80"/>
        <v>0</v>
      </c>
      <c r="T191" s="340">
        <f t="shared" si="80"/>
        <v>0</v>
      </c>
      <c r="U191" s="340">
        <f t="shared" si="80"/>
        <v>0</v>
      </c>
      <c r="V191" s="340">
        <f t="shared" si="80"/>
        <v>0</v>
      </c>
      <c r="W191" s="340">
        <f t="shared" si="80"/>
        <v>0</v>
      </c>
      <c r="X191" s="303"/>
      <c r="Y191" s="342"/>
      <c r="Z191" s="342"/>
    </row>
    <row r="192" spans="1:26" s="235" customFormat="1" ht="39" customHeight="1">
      <c r="A192" s="254"/>
      <c r="B192" s="255" t="s">
        <v>709</v>
      </c>
      <c r="C192" s="238" t="s">
        <v>155</v>
      </c>
      <c r="D192" s="238"/>
      <c r="E192" s="238"/>
      <c r="F192" s="256" t="s">
        <v>710</v>
      </c>
      <c r="G192" s="197">
        <v>5250</v>
      </c>
      <c r="H192" s="197"/>
      <c r="I192" s="197"/>
      <c r="J192" s="197">
        <v>5250</v>
      </c>
      <c r="K192" s="197"/>
      <c r="L192" s="197">
        <v>4000</v>
      </c>
      <c r="M192" s="197"/>
      <c r="N192" s="197"/>
      <c r="O192" s="197">
        <v>4000</v>
      </c>
      <c r="P192" s="197"/>
      <c r="Q192" s="181">
        <f>SUM(R192:W192)</f>
        <v>1250</v>
      </c>
      <c r="R192" s="197">
        <v>1250</v>
      </c>
      <c r="S192" s="197"/>
      <c r="T192" s="197"/>
      <c r="U192" s="197"/>
      <c r="V192" s="197"/>
      <c r="W192" s="197"/>
      <c r="X192" s="238" t="s">
        <v>536</v>
      </c>
      <c r="Y192" s="232"/>
      <c r="Z192" s="232"/>
    </row>
    <row r="193" spans="1:26" s="343" customFormat="1" ht="39" customHeight="1">
      <c r="A193" s="340">
        <v>12</v>
      </c>
      <c r="B193" s="303" t="s">
        <v>43</v>
      </c>
      <c r="C193" s="341"/>
      <c r="D193" s="309"/>
      <c r="E193" s="309"/>
      <c r="F193" s="303"/>
      <c r="G193" s="253">
        <f>G194</f>
        <v>6500</v>
      </c>
      <c r="H193" s="253">
        <f t="shared" ref="H193:V193" si="81">H194</f>
        <v>0</v>
      </c>
      <c r="I193" s="253">
        <f t="shared" si="81"/>
        <v>0</v>
      </c>
      <c r="J193" s="253">
        <f t="shared" si="81"/>
        <v>6500</v>
      </c>
      <c r="K193" s="253">
        <f t="shared" si="81"/>
        <v>0</v>
      </c>
      <c r="L193" s="253">
        <f t="shared" si="81"/>
        <v>3500</v>
      </c>
      <c r="M193" s="253">
        <f t="shared" si="81"/>
        <v>0</v>
      </c>
      <c r="N193" s="253">
        <f t="shared" si="81"/>
        <v>0</v>
      </c>
      <c r="O193" s="253">
        <f t="shared" si="81"/>
        <v>3500</v>
      </c>
      <c r="P193" s="253">
        <f t="shared" si="81"/>
        <v>0</v>
      </c>
      <c r="Q193" s="253">
        <f t="shared" si="81"/>
        <v>3000</v>
      </c>
      <c r="R193" s="253">
        <f t="shared" si="81"/>
        <v>3000</v>
      </c>
      <c r="S193" s="253">
        <f t="shared" si="81"/>
        <v>0</v>
      </c>
      <c r="T193" s="253">
        <f t="shared" si="81"/>
        <v>0</v>
      </c>
      <c r="U193" s="253">
        <f t="shared" si="81"/>
        <v>0</v>
      </c>
      <c r="V193" s="253">
        <f t="shared" si="81"/>
        <v>0</v>
      </c>
      <c r="W193" s="340"/>
      <c r="X193" s="304"/>
      <c r="Y193" s="342"/>
      <c r="Z193" s="342"/>
    </row>
    <row r="194" spans="1:26" s="235" customFormat="1" ht="39" customHeight="1">
      <c r="A194" s="254"/>
      <c r="B194" s="255" t="s">
        <v>711</v>
      </c>
      <c r="C194" s="238" t="s">
        <v>155</v>
      </c>
      <c r="D194" s="238"/>
      <c r="E194" s="238"/>
      <c r="F194" s="256" t="s">
        <v>712</v>
      </c>
      <c r="G194" s="197">
        <v>6500</v>
      </c>
      <c r="H194" s="197"/>
      <c r="I194" s="197"/>
      <c r="J194" s="197">
        <v>6500</v>
      </c>
      <c r="K194" s="197"/>
      <c r="L194" s="197">
        <v>3500</v>
      </c>
      <c r="M194" s="197"/>
      <c r="N194" s="197"/>
      <c r="O194" s="197">
        <v>3500</v>
      </c>
      <c r="P194" s="197"/>
      <c r="Q194" s="181">
        <f>SUM(R194:W194)</f>
        <v>3000</v>
      </c>
      <c r="R194" s="197">
        <v>3000</v>
      </c>
      <c r="S194" s="197"/>
      <c r="T194" s="197"/>
      <c r="U194" s="197"/>
      <c r="V194" s="197"/>
      <c r="W194" s="197"/>
      <c r="X194" s="260" t="s">
        <v>43</v>
      </c>
      <c r="Y194" s="232"/>
      <c r="Z194" s="232"/>
    </row>
    <row r="195" spans="1:26" s="339" customFormat="1" ht="39" customHeight="1">
      <c r="A195" s="249">
        <v>13</v>
      </c>
      <c r="B195" s="251" t="s">
        <v>713</v>
      </c>
      <c r="C195" s="251"/>
      <c r="D195" s="251"/>
      <c r="E195" s="251"/>
      <c r="F195" s="275"/>
      <c r="G195" s="253">
        <f>G196</f>
        <v>2000</v>
      </c>
      <c r="H195" s="253">
        <f t="shared" ref="H195:W195" si="82">H196</f>
        <v>0</v>
      </c>
      <c r="I195" s="253">
        <f t="shared" si="82"/>
        <v>0</v>
      </c>
      <c r="J195" s="253">
        <f t="shared" si="82"/>
        <v>2000</v>
      </c>
      <c r="K195" s="253">
        <f t="shared" si="82"/>
        <v>0</v>
      </c>
      <c r="L195" s="253">
        <f t="shared" si="82"/>
        <v>1700</v>
      </c>
      <c r="M195" s="253">
        <f t="shared" si="82"/>
        <v>0</v>
      </c>
      <c r="N195" s="253">
        <f t="shared" si="82"/>
        <v>0</v>
      </c>
      <c r="O195" s="253">
        <f t="shared" si="82"/>
        <v>1700</v>
      </c>
      <c r="P195" s="253">
        <f t="shared" si="82"/>
        <v>0</v>
      </c>
      <c r="Q195" s="253">
        <f t="shared" si="82"/>
        <v>300</v>
      </c>
      <c r="R195" s="253">
        <f t="shared" si="82"/>
        <v>300</v>
      </c>
      <c r="S195" s="253">
        <f t="shared" si="82"/>
        <v>0</v>
      </c>
      <c r="T195" s="253">
        <f t="shared" si="82"/>
        <v>0</v>
      </c>
      <c r="U195" s="253">
        <f t="shared" si="82"/>
        <v>0</v>
      </c>
      <c r="V195" s="253">
        <f t="shared" si="82"/>
        <v>0</v>
      </c>
      <c r="W195" s="253">
        <f t="shared" si="82"/>
        <v>0</v>
      </c>
      <c r="X195" s="274"/>
      <c r="Y195" s="277"/>
      <c r="Z195" s="277"/>
    </row>
    <row r="196" spans="1:26" s="235" customFormat="1" ht="49.15" customHeight="1">
      <c r="A196" s="254"/>
      <c r="B196" s="255" t="s">
        <v>714</v>
      </c>
      <c r="C196" s="238" t="s">
        <v>715</v>
      </c>
      <c r="D196" s="238"/>
      <c r="E196" s="238"/>
      <c r="F196" s="256" t="s">
        <v>716</v>
      </c>
      <c r="G196" s="197">
        <v>2000</v>
      </c>
      <c r="H196" s="197"/>
      <c r="I196" s="197"/>
      <c r="J196" s="197">
        <v>2000</v>
      </c>
      <c r="K196" s="197"/>
      <c r="L196" s="197">
        <v>1700</v>
      </c>
      <c r="M196" s="197"/>
      <c r="N196" s="197"/>
      <c r="O196" s="197">
        <v>1700</v>
      </c>
      <c r="P196" s="197"/>
      <c r="Q196" s="181">
        <f>SUM(R196:W196)</f>
        <v>300</v>
      </c>
      <c r="R196" s="197">
        <v>300</v>
      </c>
      <c r="S196" s="197"/>
      <c r="T196" s="197"/>
      <c r="U196" s="197"/>
      <c r="V196" s="197"/>
      <c r="W196" s="197"/>
      <c r="X196" s="238" t="s">
        <v>713</v>
      </c>
      <c r="Y196" s="232"/>
      <c r="Z196" s="232"/>
    </row>
    <row r="197" spans="1:26" s="339" customFormat="1" ht="40.15" customHeight="1">
      <c r="A197" s="251">
        <v>14</v>
      </c>
      <c r="B197" s="275" t="s">
        <v>717</v>
      </c>
      <c r="C197" s="251"/>
      <c r="D197" s="251"/>
      <c r="E197" s="251"/>
      <c r="F197" s="251"/>
      <c r="G197" s="253">
        <f>G198</f>
        <v>110000</v>
      </c>
      <c r="H197" s="253">
        <f t="shared" ref="H197:W197" si="83">H198</f>
        <v>0</v>
      </c>
      <c r="I197" s="253">
        <f t="shared" si="83"/>
        <v>0</v>
      </c>
      <c r="J197" s="253">
        <f t="shared" si="83"/>
        <v>110000</v>
      </c>
      <c r="K197" s="253">
        <f t="shared" si="83"/>
        <v>0</v>
      </c>
      <c r="L197" s="253">
        <f t="shared" si="83"/>
        <v>24000</v>
      </c>
      <c r="M197" s="253"/>
      <c r="N197" s="253">
        <f t="shared" si="83"/>
        <v>0</v>
      </c>
      <c r="O197" s="253">
        <f t="shared" si="83"/>
        <v>24000</v>
      </c>
      <c r="P197" s="253">
        <f t="shared" si="83"/>
        <v>0</v>
      </c>
      <c r="Q197" s="253">
        <f t="shared" si="83"/>
        <v>20000</v>
      </c>
      <c r="R197" s="253">
        <f t="shared" si="83"/>
        <v>5000</v>
      </c>
      <c r="S197" s="253">
        <f t="shared" si="83"/>
        <v>0</v>
      </c>
      <c r="T197" s="253">
        <f t="shared" si="83"/>
        <v>15000</v>
      </c>
      <c r="U197" s="253">
        <f t="shared" si="83"/>
        <v>0</v>
      </c>
      <c r="V197" s="253">
        <f t="shared" si="83"/>
        <v>0</v>
      </c>
      <c r="W197" s="253">
        <f t="shared" si="83"/>
        <v>0</v>
      </c>
      <c r="X197" s="251"/>
      <c r="Y197" s="277">
        <f t="shared" si="38"/>
        <v>24000</v>
      </c>
      <c r="Z197" s="277">
        <f t="shared" ref="Z197:Z201" si="84">L197-Y197</f>
        <v>0</v>
      </c>
    </row>
    <row r="198" spans="1:26" s="235" customFormat="1" ht="47.25">
      <c r="A198" s="238"/>
      <c r="B198" s="278" t="s">
        <v>718</v>
      </c>
      <c r="C198" s="238" t="s">
        <v>155</v>
      </c>
      <c r="D198" s="254"/>
      <c r="E198" s="254"/>
      <c r="F198" s="256" t="s">
        <v>719</v>
      </c>
      <c r="G198" s="197">
        <v>110000</v>
      </c>
      <c r="H198" s="197"/>
      <c r="I198" s="197"/>
      <c r="J198" s="197">
        <v>110000</v>
      </c>
      <c r="K198" s="197"/>
      <c r="L198" s="197">
        <v>24000</v>
      </c>
      <c r="M198" s="197"/>
      <c r="N198" s="197"/>
      <c r="O198" s="197">
        <v>24000</v>
      </c>
      <c r="P198" s="197"/>
      <c r="Q198" s="181">
        <f>SUM(R198:W198)</f>
        <v>20000</v>
      </c>
      <c r="R198" s="197">
        <v>5000</v>
      </c>
      <c r="S198" s="197"/>
      <c r="T198" s="197">
        <v>15000</v>
      </c>
      <c r="U198" s="197">
        <v>0</v>
      </c>
      <c r="V198" s="197">
        <v>0</v>
      </c>
      <c r="W198" s="197">
        <v>0</v>
      </c>
      <c r="X198" s="238" t="str">
        <f>B197</f>
        <v>Văn phòng Ủy ban nhân dân tỉnh</v>
      </c>
      <c r="Y198" s="232">
        <f t="shared" si="38"/>
        <v>24000</v>
      </c>
      <c r="Z198" s="232">
        <f t="shared" si="84"/>
        <v>0</v>
      </c>
    </row>
    <row r="199" spans="1:26" s="345" customFormat="1" ht="45" customHeight="1">
      <c r="A199" s="242" t="s">
        <v>26</v>
      </c>
      <c r="B199" s="344" t="s">
        <v>298</v>
      </c>
      <c r="C199" s="261"/>
      <c r="D199" s="261"/>
      <c r="E199" s="261"/>
      <c r="F199" s="261"/>
      <c r="G199" s="319">
        <f>G200</f>
        <v>90000</v>
      </c>
      <c r="H199" s="319">
        <f t="shared" ref="H199:W200" si="85">H200</f>
        <v>0</v>
      </c>
      <c r="I199" s="319">
        <f>I200</f>
        <v>90000</v>
      </c>
      <c r="J199" s="319">
        <f t="shared" si="85"/>
        <v>0</v>
      </c>
      <c r="K199" s="319">
        <f t="shared" si="85"/>
        <v>0</v>
      </c>
      <c r="L199" s="319">
        <f>L200</f>
        <v>72000</v>
      </c>
      <c r="M199" s="319">
        <f t="shared" ref="M199:P200" si="86">M200</f>
        <v>0</v>
      </c>
      <c r="N199" s="319">
        <f t="shared" si="86"/>
        <v>72000</v>
      </c>
      <c r="O199" s="319">
        <f t="shared" si="86"/>
        <v>0</v>
      </c>
      <c r="P199" s="319">
        <f t="shared" si="86"/>
        <v>0</v>
      </c>
      <c r="Q199" s="319">
        <f t="shared" si="85"/>
        <v>18000</v>
      </c>
      <c r="R199" s="319">
        <f t="shared" si="85"/>
        <v>0</v>
      </c>
      <c r="S199" s="319">
        <f t="shared" si="85"/>
        <v>0</v>
      </c>
      <c r="T199" s="319">
        <f t="shared" si="85"/>
        <v>0</v>
      </c>
      <c r="U199" s="319">
        <f t="shared" si="85"/>
        <v>18000</v>
      </c>
      <c r="V199" s="319">
        <f t="shared" si="85"/>
        <v>0</v>
      </c>
      <c r="W199" s="319">
        <f t="shared" si="85"/>
        <v>0</v>
      </c>
      <c r="X199" s="261"/>
      <c r="Y199" s="247">
        <f t="shared" si="38"/>
        <v>72000</v>
      </c>
      <c r="Z199" s="247">
        <f t="shared" si="84"/>
        <v>0</v>
      </c>
    </row>
    <row r="200" spans="1:26" s="328" customFormat="1" ht="42" customHeight="1">
      <c r="A200" s="249">
        <v>1</v>
      </c>
      <c r="B200" s="331" t="str">
        <f>X201</f>
        <v>Sở Lao động, thương binh và xã hội</v>
      </c>
      <c r="C200" s="199"/>
      <c r="D200" s="199"/>
      <c r="E200" s="199"/>
      <c r="F200" s="199"/>
      <c r="G200" s="253">
        <f>G201</f>
        <v>90000</v>
      </c>
      <c r="H200" s="253">
        <f t="shared" si="85"/>
        <v>0</v>
      </c>
      <c r="I200" s="253">
        <f t="shared" si="85"/>
        <v>90000</v>
      </c>
      <c r="J200" s="253">
        <f t="shared" si="85"/>
        <v>0</v>
      </c>
      <c r="K200" s="253">
        <f t="shared" si="85"/>
        <v>0</v>
      </c>
      <c r="L200" s="253">
        <f>L201</f>
        <v>72000</v>
      </c>
      <c r="M200" s="253">
        <f t="shared" si="86"/>
        <v>0</v>
      </c>
      <c r="N200" s="253">
        <f t="shared" si="86"/>
        <v>72000</v>
      </c>
      <c r="O200" s="253">
        <f t="shared" si="85"/>
        <v>0</v>
      </c>
      <c r="P200" s="253">
        <f t="shared" si="85"/>
        <v>0</v>
      </c>
      <c r="Q200" s="253">
        <f t="shared" si="85"/>
        <v>18000</v>
      </c>
      <c r="R200" s="253">
        <v>0</v>
      </c>
      <c r="S200" s="253">
        <f t="shared" si="85"/>
        <v>0</v>
      </c>
      <c r="T200" s="253">
        <f t="shared" si="85"/>
        <v>0</v>
      </c>
      <c r="U200" s="253">
        <f t="shared" si="85"/>
        <v>18000</v>
      </c>
      <c r="V200" s="253">
        <f t="shared" si="85"/>
        <v>0</v>
      </c>
      <c r="W200" s="253">
        <f t="shared" si="85"/>
        <v>0</v>
      </c>
      <c r="X200" s="199"/>
      <c r="Y200" s="232">
        <f t="shared" si="38"/>
        <v>72000</v>
      </c>
      <c r="Z200" s="232">
        <f t="shared" si="84"/>
        <v>0</v>
      </c>
    </row>
    <row r="201" spans="1:26" s="281" customFormat="1" ht="51.6" customHeight="1">
      <c r="A201" s="266"/>
      <c r="B201" s="204" t="s">
        <v>433</v>
      </c>
      <c r="C201" s="238" t="s">
        <v>720</v>
      </c>
      <c r="D201" s="238" t="s">
        <v>336</v>
      </c>
      <c r="E201" s="238" t="s">
        <v>336</v>
      </c>
      <c r="F201" s="238" t="s">
        <v>471</v>
      </c>
      <c r="G201" s="197">
        <v>90000</v>
      </c>
      <c r="H201" s="197"/>
      <c r="I201" s="197">
        <v>90000</v>
      </c>
      <c r="J201" s="197"/>
      <c r="K201" s="197"/>
      <c r="L201" s="197">
        <v>72000</v>
      </c>
      <c r="M201" s="197"/>
      <c r="N201" s="197">
        <v>72000</v>
      </c>
      <c r="O201" s="197"/>
      <c r="P201" s="197"/>
      <c r="Q201" s="197">
        <v>18000</v>
      </c>
      <c r="R201" s="197"/>
      <c r="S201" s="197"/>
      <c r="T201" s="197"/>
      <c r="U201" s="197">
        <v>18000</v>
      </c>
      <c r="V201" s="197">
        <v>0</v>
      </c>
      <c r="W201" s="197">
        <v>0</v>
      </c>
      <c r="X201" s="346" t="s">
        <v>299</v>
      </c>
      <c r="Y201" s="232">
        <f t="shared" si="38"/>
        <v>72000</v>
      </c>
      <c r="Z201" s="232">
        <f t="shared" si="84"/>
        <v>0</v>
      </c>
    </row>
    <row r="202" spans="1:26" s="345" customFormat="1" ht="51.6" customHeight="1">
      <c r="A202" s="268" t="s">
        <v>343</v>
      </c>
      <c r="B202" s="347" t="s">
        <v>129</v>
      </c>
      <c r="C202" s="244"/>
      <c r="D202" s="244"/>
      <c r="E202" s="244"/>
      <c r="F202" s="244"/>
      <c r="G202" s="319">
        <f>G203</f>
        <v>50857</v>
      </c>
      <c r="H202" s="319">
        <f t="shared" ref="H202:W202" si="87">H203</f>
        <v>0</v>
      </c>
      <c r="I202" s="319">
        <f t="shared" si="87"/>
        <v>48184</v>
      </c>
      <c r="J202" s="319">
        <f t="shared" si="87"/>
        <v>1772</v>
      </c>
      <c r="K202" s="319">
        <f t="shared" si="87"/>
        <v>901</v>
      </c>
      <c r="L202" s="319">
        <f t="shared" si="87"/>
        <v>8220</v>
      </c>
      <c r="M202" s="319">
        <f t="shared" si="87"/>
        <v>0</v>
      </c>
      <c r="N202" s="319">
        <f t="shared" si="87"/>
        <v>7925</v>
      </c>
      <c r="O202" s="319">
        <f t="shared" si="87"/>
        <v>295</v>
      </c>
      <c r="P202" s="319">
        <f t="shared" si="87"/>
        <v>0</v>
      </c>
      <c r="Q202" s="319">
        <f t="shared" si="87"/>
        <v>18298</v>
      </c>
      <c r="R202" s="319">
        <f t="shared" si="87"/>
        <v>254</v>
      </c>
      <c r="S202" s="319">
        <f t="shared" si="87"/>
        <v>0</v>
      </c>
      <c r="T202" s="319">
        <f t="shared" si="87"/>
        <v>0</v>
      </c>
      <c r="U202" s="319">
        <f t="shared" si="87"/>
        <v>18044</v>
      </c>
      <c r="V202" s="319">
        <f t="shared" si="87"/>
        <v>0</v>
      </c>
      <c r="W202" s="319">
        <f t="shared" si="87"/>
        <v>0</v>
      </c>
      <c r="X202" s="348"/>
      <c r="Y202" s="272"/>
      <c r="Z202" s="272"/>
    </row>
    <row r="203" spans="1:26" s="328" customFormat="1" ht="51.6" customHeight="1">
      <c r="A203" s="273">
        <v>1</v>
      </c>
      <c r="B203" s="199" t="s">
        <v>512</v>
      </c>
      <c r="C203" s="251"/>
      <c r="D203" s="251"/>
      <c r="E203" s="251"/>
      <c r="F203" s="251"/>
      <c r="G203" s="253">
        <f>SUM(G205:G208)</f>
        <v>50857</v>
      </c>
      <c r="H203" s="253">
        <f t="shared" ref="H203:W203" si="88">SUM(H205:H208)</f>
        <v>0</v>
      </c>
      <c r="I203" s="253">
        <f t="shared" si="88"/>
        <v>48184</v>
      </c>
      <c r="J203" s="253">
        <f t="shared" si="88"/>
        <v>1772</v>
      </c>
      <c r="K203" s="253">
        <f t="shared" si="88"/>
        <v>901</v>
      </c>
      <c r="L203" s="253">
        <f t="shared" si="88"/>
        <v>8220</v>
      </c>
      <c r="M203" s="253">
        <f t="shared" si="88"/>
        <v>0</v>
      </c>
      <c r="N203" s="253">
        <f t="shared" si="88"/>
        <v>7925</v>
      </c>
      <c r="O203" s="253">
        <f t="shared" si="88"/>
        <v>295</v>
      </c>
      <c r="P203" s="253">
        <f t="shared" si="88"/>
        <v>0</v>
      </c>
      <c r="Q203" s="253">
        <f>SUM(Q205:Q208)</f>
        <v>18298</v>
      </c>
      <c r="R203" s="253">
        <f t="shared" si="88"/>
        <v>254</v>
      </c>
      <c r="S203" s="253">
        <f t="shared" si="88"/>
        <v>0</v>
      </c>
      <c r="T203" s="253">
        <f t="shared" si="88"/>
        <v>0</v>
      </c>
      <c r="U203" s="253">
        <f>SUM(U205:U208)</f>
        <v>18044</v>
      </c>
      <c r="V203" s="253">
        <f t="shared" si="88"/>
        <v>0</v>
      </c>
      <c r="W203" s="253">
        <f t="shared" si="88"/>
        <v>0</v>
      </c>
      <c r="X203" s="331"/>
      <c r="Y203" s="277"/>
      <c r="Z203" s="277"/>
    </row>
    <row r="204" spans="1:26" s="281" customFormat="1" ht="72" customHeight="1">
      <c r="A204" s="266"/>
      <c r="B204" s="203" t="s">
        <v>513</v>
      </c>
      <c r="C204" s="238"/>
      <c r="D204" s="238"/>
      <c r="E204" s="238"/>
      <c r="F204" s="238"/>
      <c r="G204" s="197"/>
      <c r="H204" s="197"/>
      <c r="I204" s="197"/>
      <c r="J204" s="197"/>
      <c r="K204" s="197"/>
      <c r="L204" s="197"/>
      <c r="M204" s="197"/>
      <c r="N204" s="197"/>
      <c r="O204" s="197"/>
      <c r="P204" s="197"/>
      <c r="Q204" s="197"/>
      <c r="R204" s="197"/>
      <c r="S204" s="197"/>
      <c r="T204" s="197"/>
      <c r="U204" s="197"/>
      <c r="V204" s="197"/>
      <c r="W204" s="197"/>
      <c r="X204" s="238"/>
      <c r="Y204" s="232"/>
      <c r="Z204" s="232"/>
    </row>
    <row r="205" spans="1:26" s="281" customFormat="1" ht="51.6" customHeight="1">
      <c r="A205" s="266"/>
      <c r="B205" s="204" t="s">
        <v>514</v>
      </c>
      <c r="C205" s="238"/>
      <c r="D205" s="238"/>
      <c r="E205" s="238"/>
      <c r="F205" s="238"/>
      <c r="G205" s="197">
        <f>SUM(H205:K205)</f>
        <v>13377</v>
      </c>
      <c r="H205" s="197"/>
      <c r="I205" s="197">
        <v>12560</v>
      </c>
      <c r="J205" s="197">
        <v>300</v>
      </c>
      <c r="K205" s="197">
        <v>517</v>
      </c>
      <c r="L205" s="197">
        <f>SUM(M205:P205)</f>
        <v>2381</v>
      </c>
      <c r="M205" s="197"/>
      <c r="N205" s="197">
        <v>2381</v>
      </c>
      <c r="O205" s="197"/>
      <c r="P205" s="197"/>
      <c r="Q205" s="197">
        <f t="shared" ref="Q205:Q217" si="89">SUM(R205:W205)</f>
        <v>5606</v>
      </c>
      <c r="R205" s="197">
        <v>192</v>
      </c>
      <c r="S205" s="197"/>
      <c r="T205" s="197"/>
      <c r="U205" s="197">
        <v>5414</v>
      </c>
      <c r="V205" s="197"/>
      <c r="W205" s="197"/>
      <c r="X205" s="238" t="s">
        <v>288</v>
      </c>
      <c r="Y205" s="232"/>
      <c r="Z205" s="232"/>
    </row>
    <row r="206" spans="1:26" s="281" customFormat="1" ht="51.6" customHeight="1">
      <c r="A206" s="266"/>
      <c r="B206" s="204" t="s">
        <v>144</v>
      </c>
      <c r="C206" s="238"/>
      <c r="D206" s="238"/>
      <c r="E206" s="238"/>
      <c r="F206" s="238"/>
      <c r="G206" s="197">
        <f>SUM(H206:K206)</f>
        <v>2192</v>
      </c>
      <c r="H206" s="197"/>
      <c r="I206" s="197">
        <v>2082</v>
      </c>
      <c r="J206" s="197">
        <v>62</v>
      </c>
      <c r="K206" s="197">
        <v>48</v>
      </c>
      <c r="L206" s="197">
        <f>SUM(M206:P206)</f>
        <v>2082</v>
      </c>
      <c r="M206" s="197"/>
      <c r="N206" s="197">
        <v>2082</v>
      </c>
      <c r="O206" s="197"/>
      <c r="P206" s="197"/>
      <c r="Q206" s="197">
        <f t="shared" si="89"/>
        <v>62</v>
      </c>
      <c r="R206" s="197">
        <v>62</v>
      </c>
      <c r="S206" s="197"/>
      <c r="T206" s="197"/>
      <c r="U206" s="197"/>
      <c r="V206" s="197"/>
      <c r="W206" s="197"/>
      <c r="X206" s="238" t="s">
        <v>283</v>
      </c>
      <c r="Y206" s="232"/>
      <c r="Z206" s="232"/>
    </row>
    <row r="207" spans="1:26" s="281" customFormat="1" ht="39.6" customHeight="1">
      <c r="A207" s="266"/>
      <c r="B207" s="205" t="s">
        <v>142</v>
      </c>
      <c r="C207" s="238"/>
      <c r="D207" s="238"/>
      <c r="E207" s="238"/>
      <c r="F207" s="238"/>
      <c r="G207" s="197">
        <f>SUM(H207:K207)</f>
        <v>5678</v>
      </c>
      <c r="H207" s="197"/>
      <c r="I207" s="197">
        <v>5342</v>
      </c>
      <c r="J207" s="197"/>
      <c r="K207" s="197">
        <v>336</v>
      </c>
      <c r="L207" s="197">
        <f>SUM(M207:P207)</f>
        <v>2712</v>
      </c>
      <c r="M207" s="197"/>
      <c r="N207" s="197">
        <v>2712</v>
      </c>
      <c r="O207" s="197"/>
      <c r="P207" s="197"/>
      <c r="Q207" s="197">
        <f t="shared" si="89"/>
        <v>2630</v>
      </c>
      <c r="R207" s="197"/>
      <c r="S207" s="197"/>
      <c r="T207" s="197"/>
      <c r="U207" s="197">
        <v>2630</v>
      </c>
      <c r="V207" s="197"/>
      <c r="W207" s="197"/>
      <c r="X207" s="238" t="s">
        <v>286</v>
      </c>
      <c r="Y207" s="232"/>
      <c r="Z207" s="232"/>
    </row>
    <row r="208" spans="1:26" s="298" customFormat="1" ht="51.6" customHeight="1">
      <c r="A208" s="237">
        <v>2</v>
      </c>
      <c r="B208" s="349" t="s">
        <v>721</v>
      </c>
      <c r="C208" s="294"/>
      <c r="D208" s="294"/>
      <c r="E208" s="294"/>
      <c r="F208" s="294"/>
      <c r="G208" s="295">
        <f>SUM(H208:K208)</f>
        <v>29610</v>
      </c>
      <c r="H208" s="295"/>
      <c r="I208" s="295">
        <v>28200</v>
      </c>
      <c r="J208" s="295">
        <v>1410</v>
      </c>
      <c r="K208" s="295"/>
      <c r="L208" s="295">
        <f>SUM(M208:P208)</f>
        <v>1045</v>
      </c>
      <c r="M208" s="295"/>
      <c r="N208" s="295">
        <v>750</v>
      </c>
      <c r="O208" s="295">
        <v>295</v>
      </c>
      <c r="P208" s="295"/>
      <c r="Q208" s="295">
        <f t="shared" si="89"/>
        <v>10000</v>
      </c>
      <c r="R208" s="295"/>
      <c r="S208" s="295"/>
      <c r="T208" s="295"/>
      <c r="U208" s="295">
        <v>10000</v>
      </c>
      <c r="V208" s="295"/>
      <c r="W208" s="295"/>
      <c r="X208" s="296" t="s">
        <v>721</v>
      </c>
      <c r="Y208" s="297"/>
      <c r="Z208" s="297"/>
    </row>
    <row r="209" spans="1:26" s="248" customFormat="1" ht="33.6" customHeight="1">
      <c r="A209" s="262" t="s">
        <v>346</v>
      </c>
      <c r="B209" s="245" t="s">
        <v>722</v>
      </c>
      <c r="C209" s="244"/>
      <c r="D209" s="245"/>
      <c r="E209" s="245"/>
      <c r="F209" s="245"/>
      <c r="G209" s="313">
        <f>SUM(G219:G225)</f>
        <v>262510</v>
      </c>
      <c r="H209" s="313">
        <f>SUM(H219:H225)</f>
        <v>0</v>
      </c>
      <c r="I209" s="313">
        <f>SUM(I219:I225)</f>
        <v>29976</v>
      </c>
      <c r="J209" s="313">
        <f>SUM(J219:J225)</f>
        <v>182534</v>
      </c>
      <c r="K209" s="313">
        <f>SUM(K219:K225)</f>
        <v>50000</v>
      </c>
      <c r="L209" s="313">
        <f>SUM(L218:L225)</f>
        <v>212046</v>
      </c>
      <c r="M209" s="313">
        <f>SUM(M219:M225)</f>
        <v>0</v>
      </c>
      <c r="N209" s="313">
        <f>SUM(N219:N225)</f>
        <v>29976</v>
      </c>
      <c r="O209" s="313">
        <f>SUM(O218:O225)</f>
        <v>132070</v>
      </c>
      <c r="P209" s="313">
        <f>SUM(P219:P225)</f>
        <v>50000</v>
      </c>
      <c r="Q209" s="313">
        <f>SUM(R209:W209)</f>
        <v>547221</v>
      </c>
      <c r="R209" s="313">
        <f t="shared" ref="R209:V209" si="90">SUM(R210:R217)</f>
        <v>56251</v>
      </c>
      <c r="S209" s="313">
        <f t="shared" si="90"/>
        <v>30000</v>
      </c>
      <c r="T209" s="313">
        <f t="shared" si="90"/>
        <v>90580</v>
      </c>
      <c r="U209" s="313">
        <f>81846+139329+44498+78886</f>
        <v>344559</v>
      </c>
      <c r="V209" s="313">
        <f t="shared" si="90"/>
        <v>0</v>
      </c>
      <c r="W209" s="313">
        <v>25831</v>
      </c>
      <c r="X209" s="245"/>
    </row>
    <row r="210" spans="1:26" ht="41.45" customHeight="1">
      <c r="A210" s="266"/>
      <c r="B210" s="255" t="s">
        <v>723</v>
      </c>
      <c r="C210" s="238"/>
      <c r="D210" s="239"/>
      <c r="E210" s="239"/>
      <c r="F210" s="256"/>
      <c r="G210" s="197"/>
      <c r="H210" s="197"/>
      <c r="I210" s="197"/>
      <c r="J210" s="197"/>
      <c r="K210" s="267"/>
      <c r="L210" s="197">
        <v>329219</v>
      </c>
      <c r="M210" s="197"/>
      <c r="N210" s="197"/>
      <c r="O210" s="197">
        <v>329219</v>
      </c>
      <c r="P210" s="197"/>
      <c r="Q210" s="197">
        <f t="shared" si="89"/>
        <v>30000</v>
      </c>
      <c r="R210" s="181"/>
      <c r="S210" s="181">
        <v>30000</v>
      </c>
      <c r="T210" s="181"/>
      <c r="U210" s="181"/>
      <c r="V210" s="181"/>
      <c r="W210" s="181"/>
      <c r="X210" s="260"/>
      <c r="Y210" s="232"/>
      <c r="Z210" s="232"/>
    </row>
    <row r="211" spans="1:26" s="281" customFormat="1" ht="43.9" customHeight="1">
      <c r="A211" s="254"/>
      <c r="B211" s="280" t="s">
        <v>424</v>
      </c>
      <c r="C211" s="280">
        <v>0</v>
      </c>
      <c r="D211" s="280"/>
      <c r="E211" s="280"/>
      <c r="F211" s="280">
        <v>0</v>
      </c>
      <c r="G211" s="197"/>
      <c r="H211" s="197"/>
      <c r="I211" s="197"/>
      <c r="J211" s="197"/>
      <c r="K211" s="197"/>
      <c r="L211" s="197">
        <v>92614</v>
      </c>
      <c r="M211" s="197"/>
      <c r="N211" s="197"/>
      <c r="O211" s="197">
        <v>92614</v>
      </c>
      <c r="P211" s="197"/>
      <c r="Q211" s="197">
        <f t="shared" si="89"/>
        <v>9000</v>
      </c>
      <c r="R211" s="197"/>
      <c r="S211" s="197"/>
      <c r="T211" s="197">
        <v>9000</v>
      </c>
      <c r="U211" s="197">
        <v>0</v>
      </c>
      <c r="V211" s="197">
        <v>0</v>
      </c>
      <c r="W211" s="197">
        <v>0</v>
      </c>
      <c r="X211" s="280"/>
      <c r="Y211" s="232">
        <f>N211+O211+P211</f>
        <v>92614</v>
      </c>
      <c r="Z211" s="232">
        <f>L211-Y211</f>
        <v>0</v>
      </c>
    </row>
    <row r="212" spans="1:26" s="235" customFormat="1" ht="49.15" customHeight="1">
      <c r="A212" s="238"/>
      <c r="B212" s="350" t="s">
        <v>724</v>
      </c>
      <c r="C212" s="238"/>
      <c r="D212" s="238"/>
      <c r="E212" s="238"/>
      <c r="F212" s="238"/>
      <c r="G212" s="197"/>
      <c r="H212" s="197"/>
      <c r="I212" s="197"/>
      <c r="J212" s="197"/>
      <c r="K212" s="197"/>
      <c r="L212" s="197"/>
      <c r="M212" s="197"/>
      <c r="N212" s="197"/>
      <c r="O212" s="197"/>
      <c r="P212" s="197"/>
      <c r="Q212" s="197">
        <f t="shared" si="89"/>
        <v>9690</v>
      </c>
      <c r="R212" s="197">
        <v>9690</v>
      </c>
      <c r="S212" s="197">
        <v>0</v>
      </c>
      <c r="T212" s="197">
        <v>0</v>
      </c>
      <c r="U212" s="197">
        <v>0</v>
      </c>
      <c r="V212" s="197">
        <v>0</v>
      </c>
      <c r="W212" s="197">
        <v>0</v>
      </c>
      <c r="X212" s="238"/>
      <c r="Y212" s="232">
        <f>N212+O212+P212</f>
        <v>0</v>
      </c>
      <c r="Z212" s="232">
        <f>L212-Y212</f>
        <v>0</v>
      </c>
    </row>
    <row r="213" spans="1:26" ht="33.6" customHeight="1">
      <c r="A213" s="224"/>
      <c r="B213" s="280" t="s">
        <v>725</v>
      </c>
      <c r="C213" s="238"/>
      <c r="D213" s="239"/>
      <c r="E213" s="239"/>
      <c r="F213" s="239"/>
      <c r="G213" s="241"/>
      <c r="H213" s="241"/>
      <c r="I213" s="241"/>
      <c r="J213" s="241"/>
      <c r="K213" s="241"/>
      <c r="L213" s="241"/>
      <c r="M213" s="241"/>
      <c r="N213" s="241"/>
      <c r="O213" s="241"/>
      <c r="P213" s="241"/>
      <c r="Q213" s="197">
        <f t="shared" si="89"/>
        <v>51580</v>
      </c>
      <c r="R213" s="241">
        <v>25000</v>
      </c>
      <c r="S213" s="241"/>
      <c r="T213" s="239">
        <v>26580</v>
      </c>
      <c r="U213" s="239"/>
      <c r="V213" s="239"/>
      <c r="W213" s="239"/>
      <c r="X213" s="239"/>
    </row>
    <row r="214" spans="1:26" ht="33.6" customHeight="1">
      <c r="A214" s="224"/>
      <c r="B214" s="280" t="s">
        <v>726</v>
      </c>
      <c r="C214" s="238"/>
      <c r="D214" s="239"/>
      <c r="E214" s="239"/>
      <c r="F214" s="239"/>
      <c r="G214" s="241"/>
      <c r="H214" s="241"/>
      <c r="I214" s="241"/>
      <c r="J214" s="241"/>
      <c r="K214" s="241"/>
      <c r="L214" s="241"/>
      <c r="M214" s="241"/>
      <c r="N214" s="241"/>
      <c r="O214" s="241"/>
      <c r="P214" s="241"/>
      <c r="Q214" s="197">
        <f t="shared" si="89"/>
        <v>10000</v>
      </c>
      <c r="R214" s="241"/>
      <c r="S214" s="241"/>
      <c r="T214" s="239">
        <v>10000</v>
      </c>
      <c r="U214" s="239"/>
      <c r="V214" s="239"/>
      <c r="W214" s="239"/>
      <c r="X214" s="239"/>
    </row>
    <row r="215" spans="1:26" ht="33.6" customHeight="1">
      <c r="A215" s="224"/>
      <c r="B215" s="280" t="s">
        <v>727</v>
      </c>
      <c r="C215" s="238"/>
      <c r="D215" s="239"/>
      <c r="E215" s="239"/>
      <c r="F215" s="239"/>
      <c r="G215" s="241"/>
      <c r="H215" s="241"/>
      <c r="I215" s="241"/>
      <c r="J215" s="241"/>
      <c r="K215" s="241"/>
      <c r="L215" s="241"/>
      <c r="M215" s="241"/>
      <c r="N215" s="241"/>
      <c r="O215" s="241"/>
      <c r="P215" s="241"/>
      <c r="Q215" s="197">
        <f t="shared" si="89"/>
        <v>5000</v>
      </c>
      <c r="R215" s="241"/>
      <c r="S215" s="241"/>
      <c r="T215" s="239">
        <v>5000</v>
      </c>
      <c r="U215" s="239"/>
      <c r="V215" s="239"/>
      <c r="W215" s="239"/>
      <c r="X215" s="239"/>
    </row>
    <row r="216" spans="1:26" ht="33.6" customHeight="1">
      <c r="A216" s="224"/>
      <c r="B216" s="280" t="s">
        <v>728</v>
      </c>
      <c r="C216" s="238"/>
      <c r="D216" s="239"/>
      <c r="E216" s="239"/>
      <c r="F216" s="239"/>
      <c r="G216" s="241"/>
      <c r="H216" s="241"/>
      <c r="I216" s="241"/>
      <c r="J216" s="241"/>
      <c r="K216" s="241"/>
      <c r="L216" s="241"/>
      <c r="M216" s="241"/>
      <c r="N216" s="241"/>
      <c r="O216" s="241"/>
      <c r="P216" s="241"/>
      <c r="Q216" s="197">
        <f t="shared" si="89"/>
        <v>50000</v>
      </c>
      <c r="R216" s="241">
        <v>10000</v>
      </c>
      <c r="S216" s="241"/>
      <c r="T216" s="239">
        <v>40000</v>
      </c>
      <c r="U216" s="239"/>
      <c r="V216" s="239"/>
      <c r="W216" s="239"/>
      <c r="X216" s="239"/>
    </row>
    <row r="217" spans="1:26" ht="33.6" customHeight="1">
      <c r="A217" s="224"/>
      <c r="B217" s="280" t="s">
        <v>729</v>
      </c>
      <c r="C217" s="238"/>
      <c r="D217" s="239"/>
      <c r="E217" s="239"/>
      <c r="F217" s="239"/>
      <c r="G217" s="241"/>
      <c r="H217" s="241"/>
      <c r="I217" s="241"/>
      <c r="J217" s="241"/>
      <c r="K217" s="241"/>
      <c r="L217" s="241"/>
      <c r="M217" s="241"/>
      <c r="N217" s="241"/>
      <c r="O217" s="241"/>
      <c r="P217" s="241"/>
      <c r="Q217" s="197">
        <f t="shared" si="89"/>
        <v>11561</v>
      </c>
      <c r="R217" s="241">
        <v>11561</v>
      </c>
      <c r="S217" s="241"/>
      <c r="T217" s="239"/>
      <c r="U217" s="239"/>
      <c r="V217" s="239"/>
      <c r="W217" s="239"/>
      <c r="X217" s="239"/>
    </row>
    <row r="218" spans="1:26" s="354" customFormat="1" ht="33.6" hidden="1" customHeight="1">
      <c r="A218" s="351"/>
      <c r="B218" s="321"/>
      <c r="C218" s="294"/>
      <c r="D218" s="352"/>
      <c r="E218" s="352"/>
      <c r="F218" s="352"/>
      <c r="G218" s="353"/>
      <c r="H218" s="353"/>
      <c r="I218" s="353"/>
      <c r="J218" s="353"/>
      <c r="K218" s="353"/>
      <c r="L218" s="353">
        <v>950</v>
      </c>
      <c r="M218" s="353"/>
      <c r="N218" s="353"/>
      <c r="O218" s="353">
        <v>950</v>
      </c>
      <c r="P218" s="353"/>
      <c r="Q218" s="353"/>
      <c r="R218" s="353"/>
      <c r="S218" s="353"/>
      <c r="T218" s="352"/>
      <c r="U218" s="352"/>
      <c r="V218" s="352"/>
      <c r="W218" s="352"/>
      <c r="X218" s="352"/>
    </row>
    <row r="219" spans="1:26" ht="94.5" hidden="1">
      <c r="B219" s="355" t="s">
        <v>730</v>
      </c>
      <c r="C219" s="356" t="s">
        <v>155</v>
      </c>
      <c r="F219" s="356" t="s">
        <v>731</v>
      </c>
      <c r="G219" s="232">
        <f>SUM(H219:K219)</f>
        <v>11360</v>
      </c>
      <c r="J219" s="233">
        <v>11360</v>
      </c>
      <c r="L219" s="233">
        <f>SUM(M219:P219)</f>
        <v>7000</v>
      </c>
      <c r="O219" s="233">
        <v>7000</v>
      </c>
      <c r="X219" s="356" t="s">
        <v>588</v>
      </c>
    </row>
    <row r="220" spans="1:26" ht="63" hidden="1">
      <c r="B220" s="357" t="s">
        <v>179</v>
      </c>
      <c r="C220" s="358" t="s">
        <v>155</v>
      </c>
      <c r="F220" s="358" t="s">
        <v>470</v>
      </c>
      <c r="G220" s="232">
        <f t="shared" ref="G220:G225" si="91">SUM(H220:K220)</f>
        <v>49980</v>
      </c>
      <c r="J220" s="233">
        <v>49980</v>
      </c>
      <c r="L220" s="233">
        <f t="shared" ref="L220:L225" si="92">SUM(M220:P220)</f>
        <v>44450</v>
      </c>
      <c r="O220" s="233">
        <v>44450</v>
      </c>
      <c r="X220" s="358" t="s">
        <v>732</v>
      </c>
    </row>
    <row r="221" spans="1:26" ht="63" hidden="1">
      <c r="B221" s="357" t="s">
        <v>733</v>
      </c>
      <c r="C221" s="358" t="s">
        <v>155</v>
      </c>
      <c r="F221" s="358" t="s">
        <v>734</v>
      </c>
      <c r="G221" s="232">
        <f t="shared" si="91"/>
        <v>7200</v>
      </c>
      <c r="J221" s="233">
        <v>7200</v>
      </c>
      <c r="L221" s="233">
        <f t="shared" si="92"/>
        <v>4500</v>
      </c>
      <c r="O221" s="233">
        <v>4500</v>
      </c>
      <c r="X221" s="358" t="s">
        <v>735</v>
      </c>
    </row>
    <row r="222" spans="1:26" ht="94.5" hidden="1">
      <c r="B222" s="357" t="s">
        <v>736</v>
      </c>
      <c r="C222" s="358" t="s">
        <v>160</v>
      </c>
      <c r="F222" s="358" t="s">
        <v>737</v>
      </c>
      <c r="G222" s="232">
        <f t="shared" si="91"/>
        <v>36500</v>
      </c>
      <c r="J222" s="233">
        <v>36500</v>
      </c>
      <c r="L222" s="233">
        <f t="shared" si="92"/>
        <v>21000</v>
      </c>
      <c r="O222" s="233">
        <v>21000</v>
      </c>
      <c r="X222" s="358" t="s">
        <v>697</v>
      </c>
    </row>
    <row r="223" spans="1:26" ht="31.5" hidden="1">
      <c r="B223" s="357" t="s">
        <v>170</v>
      </c>
      <c r="C223" s="358" t="s">
        <v>738</v>
      </c>
      <c r="F223" s="358" t="s">
        <v>171</v>
      </c>
      <c r="G223" s="232">
        <f t="shared" si="91"/>
        <v>114500</v>
      </c>
      <c r="J223" s="233">
        <v>64500</v>
      </c>
      <c r="K223" s="233">
        <v>50000</v>
      </c>
      <c r="L223" s="233">
        <f t="shared" si="92"/>
        <v>100000</v>
      </c>
      <c r="O223" s="233">
        <v>50000</v>
      </c>
      <c r="P223" s="233">
        <v>50000</v>
      </c>
      <c r="X223" s="358" t="s">
        <v>688</v>
      </c>
    </row>
    <row r="224" spans="1:26" ht="63" hidden="1">
      <c r="B224" s="357" t="s">
        <v>739</v>
      </c>
      <c r="C224" s="358" t="s">
        <v>167</v>
      </c>
      <c r="F224" s="358" t="s">
        <v>740</v>
      </c>
      <c r="G224" s="232">
        <f t="shared" si="91"/>
        <v>19980</v>
      </c>
      <c r="I224" s="233">
        <v>14010</v>
      </c>
      <c r="J224" s="233">
        <v>5970</v>
      </c>
      <c r="L224" s="233">
        <f t="shared" si="92"/>
        <v>14680</v>
      </c>
      <c r="N224" s="233">
        <v>14010</v>
      </c>
      <c r="O224" s="233">
        <v>670</v>
      </c>
      <c r="X224" s="359" t="s">
        <v>700</v>
      </c>
    </row>
    <row r="225" spans="2:24" ht="78.75" hidden="1">
      <c r="B225" s="357" t="s">
        <v>741</v>
      </c>
      <c r="C225" s="358" t="s">
        <v>167</v>
      </c>
      <c r="F225" s="358" t="s">
        <v>742</v>
      </c>
      <c r="G225" s="232">
        <f t="shared" si="91"/>
        <v>22990</v>
      </c>
      <c r="I225" s="233">
        <v>15966</v>
      </c>
      <c r="J225" s="233">
        <v>7024</v>
      </c>
      <c r="L225" s="233">
        <f t="shared" si="92"/>
        <v>19466</v>
      </c>
      <c r="N225" s="233">
        <v>15966</v>
      </c>
      <c r="O225" s="233">
        <v>3500</v>
      </c>
      <c r="X225" s="359" t="s">
        <v>700</v>
      </c>
    </row>
    <row r="226" spans="2:24" ht="31.5" hidden="1">
      <c r="B226" s="360" t="s">
        <v>597</v>
      </c>
      <c r="C226" s="361" t="s">
        <v>157</v>
      </c>
    </row>
    <row r="227" spans="2:24" hidden="1"/>
    <row r="228" spans="2:24" hidden="1"/>
  </sheetData>
  <mergeCells count="36">
    <mergeCell ref="A5:A9"/>
    <mergeCell ref="B5:B9"/>
    <mergeCell ref="C5:C9"/>
    <mergeCell ref="D5:D9"/>
    <mergeCell ref="E5:E9"/>
    <mergeCell ref="A1:B1"/>
    <mergeCell ref="S1:X1"/>
    <mergeCell ref="A2:X2"/>
    <mergeCell ref="A3:X3"/>
    <mergeCell ref="V4:X4"/>
    <mergeCell ref="F5:K5"/>
    <mergeCell ref="L5:P5"/>
    <mergeCell ref="Q5:W5"/>
    <mergeCell ref="X5:X9"/>
    <mergeCell ref="F6:F9"/>
    <mergeCell ref="G6:K6"/>
    <mergeCell ref="L6:L9"/>
    <mergeCell ref="N6:P6"/>
    <mergeCell ref="Q6:Q9"/>
    <mergeCell ref="R6:W6"/>
    <mergeCell ref="W7:W9"/>
    <mergeCell ref="G7:G9"/>
    <mergeCell ref="H7:K7"/>
    <mergeCell ref="M7:M9"/>
    <mergeCell ref="N7:N9"/>
    <mergeCell ref="O7:O9"/>
    <mergeCell ref="P7:P9"/>
    <mergeCell ref="H8:H9"/>
    <mergeCell ref="I8:I9"/>
    <mergeCell ref="J8:J9"/>
    <mergeCell ref="K8:K9"/>
    <mergeCell ref="R7:R9"/>
    <mergeCell ref="S7:S9"/>
    <mergeCell ref="T7:T9"/>
    <mergeCell ref="U7:U9"/>
    <mergeCell ref="V7:V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C37"/>
  <sheetViews>
    <sheetView showZeros="0" topLeftCell="A7" workbookViewId="0">
      <selection activeCell="B31" sqref="B31"/>
    </sheetView>
  </sheetViews>
  <sheetFormatPr defaultColWidth="9.140625" defaultRowHeight="12.75"/>
  <cols>
    <col min="1" max="1" width="6.140625" style="14" customWidth="1"/>
    <col min="2" max="2" width="63.42578125" style="14" customWidth="1"/>
    <col min="3" max="3" width="26.28515625" style="14" customWidth="1"/>
    <col min="4" max="16384" width="9.140625" style="14"/>
  </cols>
  <sheetData>
    <row r="1" spans="1:3" ht="15.75">
      <c r="A1" s="702" t="s">
        <v>1629</v>
      </c>
      <c r="B1" s="702"/>
      <c r="C1" s="32" t="s">
        <v>368</v>
      </c>
    </row>
    <row r="2" spans="1:3">
      <c r="A2" s="33"/>
      <c r="B2" s="33"/>
      <c r="C2" s="33"/>
    </row>
    <row r="3" spans="1:3" ht="18.75">
      <c r="A3" s="703" t="s">
        <v>1630</v>
      </c>
      <c r="B3" s="703"/>
      <c r="C3" s="703"/>
    </row>
    <row r="4" spans="1:3" ht="18.75">
      <c r="A4" s="704" t="s">
        <v>147</v>
      </c>
      <c r="B4" s="704"/>
      <c r="C4" s="704"/>
    </row>
    <row r="5" spans="1:3" ht="15.75">
      <c r="A5" s="33"/>
      <c r="B5" s="33"/>
      <c r="C5" s="34" t="s">
        <v>1</v>
      </c>
    </row>
    <row r="6" spans="1:3" s="35" customFormat="1" ht="18.75">
      <c r="A6" s="696" t="s">
        <v>65</v>
      </c>
      <c r="B6" s="698" t="s">
        <v>185</v>
      </c>
      <c r="C6" s="700" t="s">
        <v>246</v>
      </c>
    </row>
    <row r="7" spans="1:3" s="35" customFormat="1" ht="39" customHeight="1">
      <c r="A7" s="697"/>
      <c r="B7" s="699"/>
      <c r="C7" s="701"/>
    </row>
    <row r="8" spans="1:3" s="35" customFormat="1" ht="18.75">
      <c r="A8" s="36" t="s">
        <v>55</v>
      </c>
      <c r="B8" s="37" t="s">
        <v>32</v>
      </c>
      <c r="C8" s="38">
        <f>C9+C12+C16+C17</f>
        <v>38964267.100000001</v>
      </c>
    </row>
    <row r="9" spans="1:3" s="35" customFormat="1" ht="17.25" customHeight="1">
      <c r="A9" s="36" t="s">
        <v>97</v>
      </c>
      <c r="B9" s="39" t="s">
        <v>33</v>
      </c>
      <c r="C9" s="40">
        <f>C10+C11</f>
        <v>18994550.100000001</v>
      </c>
    </row>
    <row r="10" spans="1:3" s="35" customFormat="1" ht="17.25" customHeight="1">
      <c r="A10" s="41">
        <v>1</v>
      </c>
      <c r="B10" s="42" t="s">
        <v>34</v>
      </c>
      <c r="C10" s="43">
        <f>'[1]Cân đối NSĐP 2026 (PL 01)'!$C$13</f>
        <v>9768300.0999999996</v>
      </c>
    </row>
    <row r="11" spans="1:3" s="35" customFormat="1" ht="17.25" customHeight="1">
      <c r="A11" s="41">
        <v>2</v>
      </c>
      <c r="B11" s="42" t="s">
        <v>0</v>
      </c>
      <c r="C11" s="44">
        <f>'[1]Cân đối NSĐP 2026 (PL 01)'!$C$14</f>
        <v>9226250</v>
      </c>
    </row>
    <row r="12" spans="1:3" s="35" customFormat="1" ht="17.25" customHeight="1">
      <c r="A12" s="36" t="s">
        <v>49</v>
      </c>
      <c r="B12" s="39" t="s">
        <v>197</v>
      </c>
      <c r="C12" s="40">
        <f>C13+C14</f>
        <v>19497077</v>
      </c>
    </row>
    <row r="13" spans="1:3" s="35" customFormat="1" ht="17.25" customHeight="1">
      <c r="A13" s="45" t="s">
        <v>225</v>
      </c>
      <c r="B13" s="42" t="s">
        <v>198</v>
      </c>
      <c r="C13" s="46">
        <f>'[1]Cân đối NSĐP 2026 (PL 01)'!$C$16</f>
        <v>12789361</v>
      </c>
    </row>
    <row r="14" spans="1:3" s="35" customFormat="1" ht="17.25" customHeight="1">
      <c r="A14" s="45" t="s">
        <v>225</v>
      </c>
      <c r="B14" s="42" t="s">
        <v>44</v>
      </c>
      <c r="C14" s="46">
        <f>'[1]Cân đối NSĐP 2026 (PL 01)'!$C$17</f>
        <v>6707716</v>
      </c>
    </row>
    <row r="15" spans="1:3" s="48" customFormat="1" ht="17.25" customHeight="1">
      <c r="A15" s="36" t="s">
        <v>22</v>
      </c>
      <c r="B15" s="39" t="s">
        <v>186</v>
      </c>
      <c r="C15" s="47"/>
    </row>
    <row r="16" spans="1:3" s="35" customFormat="1" ht="17.25" customHeight="1">
      <c r="A16" s="36" t="s">
        <v>23</v>
      </c>
      <c r="B16" s="39" t="s">
        <v>187</v>
      </c>
      <c r="C16" s="47"/>
    </row>
    <row r="17" spans="1:3" s="35" customFormat="1" ht="17.25" customHeight="1">
      <c r="A17" s="36" t="s">
        <v>24</v>
      </c>
      <c r="B17" s="39" t="s">
        <v>188</v>
      </c>
      <c r="C17" s="47">
        <f>'[1]Cân đối NSĐP 2026 (PL 01)'!$C$18</f>
        <v>472640</v>
      </c>
    </row>
    <row r="18" spans="1:3" s="35" customFormat="1" ht="17.25" customHeight="1">
      <c r="A18" s="36" t="s">
        <v>56</v>
      </c>
      <c r="B18" s="37" t="s">
        <v>6</v>
      </c>
      <c r="C18" s="47">
        <f>C19+C27+C30</f>
        <v>38995466.946736619</v>
      </c>
    </row>
    <row r="19" spans="1:3" s="35" customFormat="1" ht="17.25" customHeight="1">
      <c r="A19" s="36" t="s">
        <v>97</v>
      </c>
      <c r="B19" s="39" t="s">
        <v>35</v>
      </c>
      <c r="C19" s="47">
        <f>SUM(C20:C26)</f>
        <v>38477093.946736619</v>
      </c>
    </row>
    <row r="20" spans="1:3" s="35" customFormat="1" ht="17.25" customHeight="1">
      <c r="A20" s="41">
        <v>1</v>
      </c>
      <c r="B20" s="42" t="s">
        <v>8</v>
      </c>
      <c r="C20" s="46">
        <f>'[1]Cân đối NSĐP 2026 (PL 01)'!$C$21</f>
        <v>10500600</v>
      </c>
    </row>
    <row r="21" spans="1:3" s="35" customFormat="1" ht="17.25" customHeight="1">
      <c r="A21" s="41">
        <v>2</v>
      </c>
      <c r="B21" s="42" t="s">
        <v>10</v>
      </c>
      <c r="C21" s="440">
        <f>'[1]Cân đối NSĐP 2026 (PL 01)'!$C$22</f>
        <v>26269385.74673662</v>
      </c>
    </row>
    <row r="22" spans="1:3" s="35" customFormat="1" ht="33" customHeight="1">
      <c r="A22" s="41">
        <v>3</v>
      </c>
      <c r="B22" s="42" t="s">
        <v>189</v>
      </c>
      <c r="C22" s="46">
        <f>'[1]Cân đối NSĐP 2026 (PL 01)'!$C$23</f>
        <v>43200</v>
      </c>
    </row>
    <row r="23" spans="1:3" s="35" customFormat="1" ht="17.25" customHeight="1">
      <c r="A23" s="41">
        <v>4</v>
      </c>
      <c r="B23" s="42" t="s">
        <v>114</v>
      </c>
      <c r="C23" s="46">
        <f>'[1]Cân đối NSĐP 2026 (PL 01)'!$C$24</f>
        <v>2300</v>
      </c>
    </row>
    <row r="24" spans="1:3" s="35" customFormat="1" ht="17.25" customHeight="1">
      <c r="A24" s="41">
        <v>5</v>
      </c>
      <c r="B24" s="42" t="s">
        <v>4</v>
      </c>
      <c r="C24" s="440">
        <f>'[1]Cân đối NSĐP 2026 (PL 01)'!$C$26</f>
        <v>866563.2</v>
      </c>
    </row>
    <row r="25" spans="1:3" s="35" customFormat="1" ht="17.25" customHeight="1">
      <c r="A25" s="41">
        <v>6</v>
      </c>
      <c r="B25" s="42" t="s">
        <v>115</v>
      </c>
      <c r="C25" s="440">
        <f>'[1]Cân đối NSĐP 2026 (PL 01)'!$C$25</f>
        <v>675045</v>
      </c>
    </row>
    <row r="26" spans="1:3" s="35" customFormat="1" ht="43.5" customHeight="1">
      <c r="A26" s="41">
        <v>7</v>
      </c>
      <c r="B26" s="530" t="s">
        <v>762</v>
      </c>
      <c r="C26" s="440">
        <f>'[1]Cân đối NSĐP 2026 (PL 01)'!$C$27</f>
        <v>120000</v>
      </c>
    </row>
    <row r="27" spans="1:3" s="35" customFormat="1" ht="17.25" customHeight="1">
      <c r="A27" s="36" t="s">
        <v>49</v>
      </c>
      <c r="B27" s="39" t="s">
        <v>99</v>
      </c>
      <c r="C27" s="47">
        <f>C28+C29</f>
        <v>518373</v>
      </c>
    </row>
    <row r="28" spans="1:3" s="35" customFormat="1" ht="17.25" customHeight="1">
      <c r="A28" s="41">
        <v>1</v>
      </c>
      <c r="B28" s="42" t="s">
        <v>36</v>
      </c>
      <c r="C28" s="46">
        <f>'[1]Cân đối NSĐP 2026 (PL 01)'!$C$31</f>
        <v>114000</v>
      </c>
    </row>
    <row r="29" spans="1:3" s="35" customFormat="1" ht="17.25" customHeight="1">
      <c r="A29" s="41">
        <v>2</v>
      </c>
      <c r="B29" s="42" t="s">
        <v>190</v>
      </c>
      <c r="C29" s="46">
        <f>'[1]Cân đối NSĐP 2026 (PL 01)'!$C$30</f>
        <v>404373</v>
      </c>
    </row>
    <row r="30" spans="1:3" s="35" customFormat="1" ht="17.25" customHeight="1">
      <c r="A30" s="36" t="s">
        <v>22</v>
      </c>
      <c r="B30" s="39" t="s">
        <v>31</v>
      </c>
      <c r="C30" s="47"/>
    </row>
    <row r="31" spans="1:3" s="35" customFormat="1" ht="17.25" customHeight="1">
      <c r="A31" s="36" t="s">
        <v>57</v>
      </c>
      <c r="B31" s="37" t="s">
        <v>191</v>
      </c>
      <c r="C31" s="47">
        <f>'[1]Cân đối NSĐP 2026 (PL 01)'!$C$32</f>
        <v>31199.846736617386</v>
      </c>
    </row>
    <row r="32" spans="1:3" s="35" customFormat="1" ht="17.25" customHeight="1">
      <c r="A32" s="36" t="s">
        <v>42</v>
      </c>
      <c r="B32" s="37" t="s">
        <v>37</v>
      </c>
      <c r="C32" s="47">
        <f>C33+C34</f>
        <v>149037</v>
      </c>
    </row>
    <row r="33" spans="1:3" s="35" customFormat="1" ht="17.25" customHeight="1">
      <c r="A33" s="41">
        <v>1</v>
      </c>
      <c r="B33" s="42" t="s">
        <v>38</v>
      </c>
      <c r="C33" s="44">
        <f>'[1]Cân đối NSĐP 2026 (PL 01)'!$C$34</f>
        <v>122500</v>
      </c>
    </row>
    <row r="34" spans="1:3" s="35" customFormat="1" ht="38.450000000000003" customHeight="1">
      <c r="A34" s="41">
        <v>2</v>
      </c>
      <c r="B34" s="42" t="s">
        <v>192</v>
      </c>
      <c r="C34" s="44">
        <f>'[1]Cân đối NSĐP 2026 (PL 01)'!$C$35</f>
        <v>26537</v>
      </c>
    </row>
    <row r="35" spans="1:3" s="35" customFormat="1" ht="17.25" customHeight="1">
      <c r="A35" s="36" t="s">
        <v>112</v>
      </c>
      <c r="B35" s="37" t="s">
        <v>39</v>
      </c>
      <c r="C35" s="47">
        <f>C36+C37</f>
        <v>153699.84673661739</v>
      </c>
    </row>
    <row r="36" spans="1:3" s="35" customFormat="1" ht="17.25" customHeight="1">
      <c r="A36" s="41">
        <v>1</v>
      </c>
      <c r="B36" s="42" t="s">
        <v>40</v>
      </c>
      <c r="C36" s="44">
        <f>'[1]Cân đối NSĐP 2026 (PL 01)'!$C$37</f>
        <v>31199.846736617386</v>
      </c>
    </row>
    <row r="37" spans="1:3" s="35" customFormat="1" ht="17.25" customHeight="1">
      <c r="A37" s="41">
        <v>2</v>
      </c>
      <c r="B37" s="42" t="s">
        <v>193</v>
      </c>
      <c r="C37" s="46">
        <f>'[1]Cân đối NSĐP 2026 (PL 01)'!$C$38</f>
        <v>122500</v>
      </c>
    </row>
  </sheetData>
  <mergeCells count="6">
    <mergeCell ref="A6:A7"/>
    <mergeCell ref="B6:B7"/>
    <mergeCell ref="C6:C7"/>
    <mergeCell ref="A1:B1"/>
    <mergeCell ref="A3:C3"/>
    <mergeCell ref="A4:C4"/>
  </mergeCells>
  <phoneticPr fontId="23" type="noConversion"/>
  <pageMargins left="0.70866141732283472" right="0.27559055118110237" top="0.74803149606299213" bottom="0"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sheetPr>
  <dimension ref="A1:C41"/>
  <sheetViews>
    <sheetView showZeros="0" topLeftCell="A16" workbookViewId="0">
      <selection activeCell="B31" sqref="B31"/>
    </sheetView>
  </sheetViews>
  <sheetFormatPr defaultColWidth="9.140625" defaultRowHeight="12.75"/>
  <cols>
    <col min="1" max="1" width="4.7109375" style="487" customWidth="1"/>
    <col min="2" max="2" width="57.42578125" style="487" customWidth="1"/>
    <col min="3" max="3" width="25.5703125" style="487" customWidth="1"/>
    <col min="4" max="16384" width="9.140625" style="487"/>
  </cols>
  <sheetData>
    <row r="1" spans="1:3" ht="18.75">
      <c r="A1" s="705" t="s">
        <v>1629</v>
      </c>
      <c r="B1" s="705"/>
      <c r="C1" s="486" t="s">
        <v>370</v>
      </c>
    </row>
    <row r="2" spans="1:3">
      <c r="A2" s="488"/>
      <c r="B2" s="488"/>
      <c r="C2" s="488"/>
    </row>
    <row r="3" spans="1:3" ht="18.75">
      <c r="A3" s="706" t="s">
        <v>194</v>
      </c>
      <c r="B3" s="706"/>
      <c r="C3" s="706"/>
    </row>
    <row r="4" spans="1:3" ht="18.75">
      <c r="A4" s="706" t="s">
        <v>1641</v>
      </c>
      <c r="B4" s="706"/>
      <c r="C4" s="706"/>
    </row>
    <row r="5" spans="1:3" ht="16.5">
      <c r="A5" s="707" t="s">
        <v>147</v>
      </c>
      <c r="B5" s="707"/>
      <c r="C5" s="707"/>
    </row>
    <row r="6" spans="1:3" ht="18.75">
      <c r="A6" s="489"/>
      <c r="B6" s="489"/>
      <c r="C6" s="489"/>
    </row>
    <row r="7" spans="1:3" ht="15.75">
      <c r="A7" s="488"/>
      <c r="B7" s="488"/>
      <c r="C7" s="490" t="s">
        <v>1</v>
      </c>
    </row>
    <row r="8" spans="1:3" ht="47.45" customHeight="1">
      <c r="A8" s="491" t="s">
        <v>2</v>
      </c>
      <c r="B8" s="492" t="s">
        <v>5</v>
      </c>
      <c r="C8" s="493" t="s">
        <v>246</v>
      </c>
    </row>
    <row r="9" spans="1:3" ht="17.25" customHeight="1">
      <c r="A9" s="494" t="s">
        <v>55</v>
      </c>
      <c r="B9" s="495" t="s">
        <v>29</v>
      </c>
      <c r="C9" s="496"/>
    </row>
    <row r="10" spans="1:3" ht="17.25" customHeight="1">
      <c r="A10" s="494" t="s">
        <v>97</v>
      </c>
      <c r="B10" s="495" t="s">
        <v>195</v>
      </c>
      <c r="C10" s="497">
        <f>C11+C12+C16</f>
        <v>34578688</v>
      </c>
    </row>
    <row r="11" spans="1:3" ht="17.25" customHeight="1">
      <c r="A11" s="498">
        <v>1</v>
      </c>
      <c r="B11" s="499" t="s">
        <v>196</v>
      </c>
      <c r="C11" s="500">
        <f>'[1]Cân đối NS tỉnh 2026(PL 02)'!$C$13</f>
        <v>14608971</v>
      </c>
    </row>
    <row r="12" spans="1:3" ht="17.25" customHeight="1">
      <c r="A12" s="498">
        <v>2</v>
      </c>
      <c r="B12" s="499" t="s">
        <v>197</v>
      </c>
      <c r="C12" s="474">
        <f>C13+C14+C15</f>
        <v>19497077</v>
      </c>
    </row>
    <row r="13" spans="1:3" ht="17.25" customHeight="1">
      <c r="A13" s="501" t="s">
        <v>225</v>
      </c>
      <c r="B13" s="499" t="s">
        <v>198</v>
      </c>
      <c r="C13" s="500">
        <f>'[1]Cân đối NS tỉnh 2026(PL 02)'!C15</f>
        <v>12789361</v>
      </c>
    </row>
    <row r="14" spans="1:3" ht="17.25" customHeight="1">
      <c r="A14" s="501" t="s">
        <v>225</v>
      </c>
      <c r="B14" s="499" t="s">
        <v>761</v>
      </c>
      <c r="C14" s="500">
        <f>'[1]Cân đối NS tỉnh 2026(PL 02)'!C16</f>
        <v>3340399</v>
      </c>
    </row>
    <row r="15" spans="1:3" ht="17.25" customHeight="1">
      <c r="A15" s="501" t="s">
        <v>225</v>
      </c>
      <c r="B15" s="499" t="s">
        <v>44</v>
      </c>
      <c r="C15" s="500">
        <f>'[1]Cân đối NS tỉnh 2026(PL 02)'!C17</f>
        <v>3367317</v>
      </c>
    </row>
    <row r="16" spans="1:3" ht="17.25" customHeight="1">
      <c r="A16" s="501">
        <v>3</v>
      </c>
      <c r="B16" s="499" t="s">
        <v>763</v>
      </c>
      <c r="C16" s="500">
        <f>'[1]Cân đối NS tỉnh 2026(PL 02)'!C18</f>
        <v>472640</v>
      </c>
    </row>
    <row r="17" spans="1:3" ht="17.25" customHeight="1">
      <c r="A17" s="494" t="s">
        <v>49</v>
      </c>
      <c r="B17" s="495" t="s">
        <v>199</v>
      </c>
      <c r="C17" s="497">
        <f>C18+C21+C19+C20</f>
        <v>34609887.576079234</v>
      </c>
    </row>
    <row r="18" spans="1:3" ht="33" customHeight="1">
      <c r="A18" s="498">
        <v>1</v>
      </c>
      <c r="B18" s="499" t="s">
        <v>200</v>
      </c>
      <c r="C18" s="502">
        <f>'[1]Cân đối NS tỉnh 2026(PL 02)'!$C$20</f>
        <v>21306505.500601888</v>
      </c>
    </row>
    <row r="19" spans="1:3" ht="33" customHeight="1">
      <c r="A19" s="498">
        <v>2</v>
      </c>
      <c r="B19" s="499" t="s">
        <v>202</v>
      </c>
      <c r="C19" s="500">
        <f>'[1]Cân đối NS tỉnh 2026(PL 02)'!$C$21</f>
        <v>518373</v>
      </c>
    </row>
    <row r="20" spans="1:3" ht="33" customHeight="1">
      <c r="A20" s="498">
        <v>3</v>
      </c>
      <c r="B20" s="499" t="s">
        <v>764</v>
      </c>
      <c r="C20" s="500">
        <f>'[1]Cân đối NS tỉnh 2026(PL 02)'!$C$22</f>
        <v>675045</v>
      </c>
    </row>
    <row r="21" spans="1:3" ht="17.25" customHeight="1">
      <c r="A21" s="498">
        <v>3</v>
      </c>
      <c r="B21" s="499" t="s">
        <v>1645</v>
      </c>
      <c r="C21" s="500">
        <f>C22+C23+C24</f>
        <v>12109964.075477343</v>
      </c>
    </row>
    <row r="22" spans="1:3" ht="17.25" customHeight="1">
      <c r="A22" s="501" t="s">
        <v>225</v>
      </c>
      <c r="B22" s="499" t="s">
        <v>201</v>
      </c>
      <c r="C22" s="500">
        <f>'[1]Cân đối NS tỉnh 2026(PL 02)'!$C$24</f>
        <v>8279263.4573942097</v>
      </c>
    </row>
    <row r="23" spans="1:3" ht="33.75" customHeight="1">
      <c r="A23" s="501" t="s">
        <v>225</v>
      </c>
      <c r="B23" s="499" t="s">
        <v>760</v>
      </c>
      <c r="C23" s="502">
        <f>'[1]Cân đối NS tỉnh 2026(PL 02)'!$C$25</f>
        <v>2797212.2180831325</v>
      </c>
    </row>
    <row r="24" spans="1:3" ht="17.25" customHeight="1">
      <c r="A24" s="501" t="s">
        <v>225</v>
      </c>
      <c r="B24" s="499" t="s">
        <v>202</v>
      </c>
      <c r="C24" s="502">
        <f>'[1]Cân đối NS tỉnh 2026(PL 02)'!$C$26</f>
        <v>1033488.4</v>
      </c>
    </row>
    <row r="25" spans="1:3" ht="17.25" customHeight="1">
      <c r="A25" s="498">
        <v>3</v>
      </c>
      <c r="B25" s="499" t="s">
        <v>31</v>
      </c>
      <c r="C25" s="474"/>
    </row>
    <row r="26" spans="1:3" ht="17.25" customHeight="1">
      <c r="A26" s="494" t="s">
        <v>22</v>
      </c>
      <c r="B26" s="495" t="s">
        <v>203</v>
      </c>
      <c r="C26" s="497">
        <f>C10-C17</f>
        <v>-31199.576079234481</v>
      </c>
    </row>
    <row r="27" spans="1:3" ht="17.25" customHeight="1">
      <c r="A27" s="494" t="s">
        <v>56</v>
      </c>
      <c r="B27" s="495" t="s">
        <v>767</v>
      </c>
      <c r="C27" s="497"/>
    </row>
    <row r="28" spans="1:3" ht="17.25" customHeight="1">
      <c r="A28" s="494" t="s">
        <v>97</v>
      </c>
      <c r="B28" s="495" t="s">
        <v>195</v>
      </c>
      <c r="C28" s="497">
        <f>C29+C30</f>
        <v>16495543.007957339</v>
      </c>
    </row>
    <row r="29" spans="1:3" ht="17.25" customHeight="1">
      <c r="A29" s="498">
        <v>1</v>
      </c>
      <c r="B29" s="499" t="s">
        <v>1644</v>
      </c>
      <c r="C29" s="474">
        <f>'[1]Cân đối NS tỉnh 2026(PL 02)'!$C$30</f>
        <v>4385579.05</v>
      </c>
    </row>
    <row r="30" spans="1:3" ht="17.25" customHeight="1">
      <c r="A30" s="498">
        <v>2</v>
      </c>
      <c r="B30" s="499" t="s">
        <v>20</v>
      </c>
      <c r="C30" s="474">
        <f>C31+C33+C32</f>
        <v>12109963.95795734</v>
      </c>
    </row>
    <row r="31" spans="1:3" ht="17.25" customHeight="1">
      <c r="A31" s="501" t="s">
        <v>225</v>
      </c>
      <c r="B31" s="499" t="s">
        <v>198</v>
      </c>
      <c r="C31" s="474">
        <f>'[1]Cân đối NS tỉnh 2026(PL 02)'!$C$32</f>
        <v>8279263.4573942097</v>
      </c>
    </row>
    <row r="32" spans="1:3" ht="17.25" customHeight="1">
      <c r="A32" s="501" t="s">
        <v>225</v>
      </c>
      <c r="B32" s="499" t="s">
        <v>490</v>
      </c>
      <c r="C32" s="502">
        <f>'[1]Cân đối NS tỉnh 2026(PL 02)'!$C$33</f>
        <v>2797212.2180831325</v>
      </c>
    </row>
    <row r="33" spans="1:3" ht="17.25" customHeight="1">
      <c r="A33" s="501" t="s">
        <v>225</v>
      </c>
      <c r="B33" s="499" t="s">
        <v>44</v>
      </c>
      <c r="C33" s="502">
        <f>'[1]Cân đối NS tỉnh 2026(PL 02)'!$C$34</f>
        <v>1033488.2824799995</v>
      </c>
    </row>
    <row r="34" spans="1:3" ht="17.25" customHeight="1">
      <c r="A34" s="498">
        <v>3</v>
      </c>
      <c r="B34" s="499" t="s">
        <v>187</v>
      </c>
      <c r="C34" s="474"/>
    </row>
    <row r="35" spans="1:3" ht="17.25" customHeight="1">
      <c r="A35" s="498">
        <v>4</v>
      </c>
      <c r="B35" s="499" t="s">
        <v>188</v>
      </c>
      <c r="C35" s="474"/>
    </row>
    <row r="36" spans="1:3" ht="17.25" customHeight="1">
      <c r="A36" s="494" t="s">
        <v>49</v>
      </c>
      <c r="B36" s="495" t="s">
        <v>199</v>
      </c>
      <c r="C36" s="497">
        <f>C37+C38</f>
        <v>16495543.283247408</v>
      </c>
    </row>
    <row r="37" spans="1:3" ht="17.25" customHeight="1">
      <c r="A37" s="531">
        <v>1</v>
      </c>
      <c r="B37" s="499" t="s">
        <v>765</v>
      </c>
      <c r="C37" s="502">
        <f>'[1]Cân đối NS tỉnh 2026(PL 02)'!C36</f>
        <v>15462055.283247408</v>
      </c>
    </row>
    <row r="38" spans="1:3" ht="17.25" customHeight="1">
      <c r="A38" s="531">
        <v>2</v>
      </c>
      <c r="B38" s="499" t="s">
        <v>766</v>
      </c>
      <c r="C38" s="502">
        <f>'[1]Cân đối NS tỉnh 2026(PL 02)'!C37</f>
        <v>1033488</v>
      </c>
    </row>
    <row r="39" spans="1:3" ht="17.25" customHeight="1">
      <c r="A39" s="498">
        <v>3</v>
      </c>
      <c r="B39" s="499" t="s">
        <v>31</v>
      </c>
      <c r="C39" s="474">
        <v>0</v>
      </c>
    </row>
    <row r="40" spans="1:3" ht="18.75">
      <c r="A40" s="533" t="s">
        <v>57</v>
      </c>
      <c r="B40" s="534" t="s">
        <v>768</v>
      </c>
      <c r="C40" s="532">
        <f>C41</f>
        <v>-31199.576079234481</v>
      </c>
    </row>
    <row r="41" spans="1:3" ht="18.75">
      <c r="A41" s="531">
        <v>1</v>
      </c>
      <c r="B41" s="499" t="s">
        <v>769</v>
      </c>
      <c r="C41" s="30">
        <v>-31199.576079234481</v>
      </c>
    </row>
  </sheetData>
  <mergeCells count="4">
    <mergeCell ref="A1:B1"/>
    <mergeCell ref="A3:C3"/>
    <mergeCell ref="A4:C4"/>
    <mergeCell ref="A5:C5"/>
  </mergeCells>
  <phoneticPr fontId="5" type="noConversion"/>
  <printOptions horizontalCentered="1"/>
  <pageMargins left="0.82" right="0.37" top="0.85" bottom="0.511811023622047" header="0.511811023622047" footer="0.23622047244094499"/>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E55"/>
  <sheetViews>
    <sheetView showZeros="0" workbookViewId="0">
      <pane xSplit="2" ySplit="9" topLeftCell="C46" activePane="bottomRight" state="frozen"/>
      <selection pane="topRight" activeCell="C1" sqref="C1"/>
      <selection pane="bottomLeft" activeCell="A10" sqref="A10"/>
      <selection pane="bottomRight" activeCell="B33" sqref="B33"/>
    </sheetView>
  </sheetViews>
  <sheetFormatPr defaultColWidth="9.140625" defaultRowHeight="12.75"/>
  <cols>
    <col min="1" max="1" width="5.140625" style="363" customWidth="1"/>
    <col min="2" max="2" width="64.28515625" style="363" customWidth="1"/>
    <col min="3" max="4" width="19.140625" style="363" customWidth="1"/>
    <col min="5" max="5" width="15.42578125" style="363" bestFit="1" customWidth="1"/>
    <col min="6" max="16384" width="9.140625" style="363"/>
  </cols>
  <sheetData>
    <row r="1" spans="1:5" ht="17.25" customHeight="1">
      <c r="A1" s="715" t="s">
        <v>1629</v>
      </c>
      <c r="B1" s="715"/>
      <c r="C1" s="708" t="s">
        <v>369</v>
      </c>
      <c r="D1" s="708"/>
    </row>
    <row r="2" spans="1:5" ht="17.25" customHeight="1">
      <c r="A2" s="364"/>
      <c r="B2" s="364"/>
      <c r="C2" s="364"/>
      <c r="D2" s="364"/>
    </row>
    <row r="3" spans="1:5" ht="17.25" customHeight="1">
      <c r="A3" s="712" t="s">
        <v>1631</v>
      </c>
      <c r="B3" s="712"/>
      <c r="C3" s="712"/>
      <c r="D3" s="712"/>
    </row>
    <row r="4" spans="1:5" ht="17.25" customHeight="1">
      <c r="A4" s="714" t="s">
        <v>147</v>
      </c>
      <c r="B4" s="714"/>
      <c r="C4" s="714"/>
      <c r="D4" s="714"/>
    </row>
    <row r="5" spans="1:5" ht="17.25" customHeight="1">
      <c r="A5" s="365"/>
      <c r="B5" s="365"/>
      <c r="C5" s="365"/>
      <c r="D5" s="365"/>
    </row>
    <row r="6" spans="1:5" ht="17.25" customHeight="1">
      <c r="A6" s="364"/>
      <c r="B6" s="364"/>
      <c r="C6" s="709" t="s">
        <v>1</v>
      </c>
      <c r="D6" s="709"/>
    </row>
    <row r="7" spans="1:5" s="366" customFormat="1" ht="31.15" customHeight="1">
      <c r="A7" s="711" t="s">
        <v>65</v>
      </c>
      <c r="B7" s="711" t="s">
        <v>185</v>
      </c>
      <c r="C7" s="711" t="s">
        <v>246</v>
      </c>
      <c r="D7" s="711"/>
    </row>
    <row r="8" spans="1:5" s="367" customFormat="1" ht="17.25" customHeight="1">
      <c r="A8" s="713" t="s">
        <v>65</v>
      </c>
      <c r="B8" s="713" t="s">
        <v>66</v>
      </c>
      <c r="C8" s="710" t="s">
        <v>206</v>
      </c>
      <c r="D8" s="710" t="s">
        <v>207</v>
      </c>
    </row>
    <row r="9" spans="1:5" s="367" customFormat="1" ht="31.5" customHeight="1">
      <c r="A9" s="713"/>
      <c r="B9" s="713"/>
      <c r="C9" s="710"/>
      <c r="D9" s="710"/>
    </row>
    <row r="10" spans="1:5" s="371" customFormat="1" ht="18.75">
      <c r="A10" s="368"/>
      <c r="B10" s="369" t="s">
        <v>204</v>
      </c>
      <c r="C10" s="370">
        <f>C11+C47+C46+C45</f>
        <v>17536000</v>
      </c>
      <c r="D10" s="370">
        <f>D11+D47+D46+D45</f>
        <v>23500000</v>
      </c>
    </row>
    <row r="11" spans="1:5" s="371" customFormat="1" ht="18.75">
      <c r="A11" s="368" t="s">
        <v>97</v>
      </c>
      <c r="B11" s="369" t="s">
        <v>205</v>
      </c>
      <c r="C11" s="370">
        <f>C12+C15+C18+C22+C25+C26+C29+C30+C35+C36+C37+C38+C39+C40+C41+C42+C43+C44</f>
        <v>15686000</v>
      </c>
      <c r="D11" s="370">
        <f>D12+D15+D18+D22+D25+D26+D29+D30+D35+D36+D37+D38+D39+D40+D41+D42+D43+D44</f>
        <v>20980000</v>
      </c>
      <c r="E11" s="372"/>
    </row>
    <row r="12" spans="1:5" s="376" customFormat="1" ht="18.75">
      <c r="A12" s="373">
        <v>1</v>
      </c>
      <c r="B12" s="374" t="s">
        <v>14</v>
      </c>
      <c r="C12" s="375">
        <f>C13+C14</f>
        <v>1980000</v>
      </c>
      <c r="D12" s="375">
        <f>D13+D14</f>
        <v>2400000</v>
      </c>
    </row>
    <row r="13" spans="1:5" s="379" customFormat="1" ht="18.75">
      <c r="A13" s="377"/>
      <c r="B13" s="378" t="s">
        <v>384</v>
      </c>
      <c r="C13" s="375">
        <f>'[1]Thu NSDP 2026 (PL 03)'!C10</f>
        <v>880000</v>
      </c>
      <c r="D13" s="375">
        <f>'[1]Thu NSDP 2026 (PL 03)'!D10</f>
        <v>1182700</v>
      </c>
    </row>
    <row r="14" spans="1:5" s="379" customFormat="1" ht="18.75">
      <c r="A14" s="377"/>
      <c r="B14" s="378" t="s">
        <v>385</v>
      </c>
      <c r="C14" s="375">
        <f>'[1]Thu NSDP 2026 (PL 03)'!C11</f>
        <v>1100000</v>
      </c>
      <c r="D14" s="375">
        <f>'[1]Thu NSDP 2026 (PL 03)'!D11</f>
        <v>1217300</v>
      </c>
    </row>
    <row r="15" spans="1:5" s="376" customFormat="1" ht="18.75">
      <c r="A15" s="373">
        <v>2</v>
      </c>
      <c r="B15" s="374" t="s">
        <v>15</v>
      </c>
      <c r="C15" s="375">
        <f>C16+C17</f>
        <v>330000</v>
      </c>
      <c r="D15" s="375">
        <f>D16+D17</f>
        <v>345000</v>
      </c>
    </row>
    <row r="16" spans="1:5" s="379" customFormat="1" ht="18.75">
      <c r="A16" s="377"/>
      <c r="B16" s="378" t="s">
        <v>384</v>
      </c>
      <c r="C16" s="375">
        <f>'[1]Thu NSDP 2026 (PL 03)'!C13</f>
        <v>240000</v>
      </c>
      <c r="D16" s="375">
        <f>'[1]Thu NSDP 2026 (PL 03)'!D13</f>
        <v>245500</v>
      </c>
    </row>
    <row r="17" spans="1:4" s="379" customFormat="1" ht="18.75">
      <c r="A17" s="377"/>
      <c r="B17" s="378" t="s">
        <v>385</v>
      </c>
      <c r="C17" s="375">
        <f>'[1]Thu NSDP 2026 (PL 03)'!C14</f>
        <v>90000</v>
      </c>
      <c r="D17" s="375">
        <f>'[1]Thu NSDP 2026 (PL 03)'!D14</f>
        <v>99500</v>
      </c>
    </row>
    <row r="18" spans="1:4" s="376" customFormat="1" ht="18.75">
      <c r="A18" s="373">
        <v>3</v>
      </c>
      <c r="B18" s="374" t="s">
        <v>62</v>
      </c>
      <c r="C18" s="375">
        <f>C19+C20+C21</f>
        <v>390000</v>
      </c>
      <c r="D18" s="375">
        <f>D19+D20+D21</f>
        <v>420000</v>
      </c>
    </row>
    <row r="19" spans="1:4" s="379" customFormat="1" ht="18.75">
      <c r="A19" s="377"/>
      <c r="B19" s="378" t="s">
        <v>384</v>
      </c>
      <c r="C19" s="375">
        <f>'[1]Thu NSDP 2026 (PL 03)'!C16</f>
        <v>223000</v>
      </c>
      <c r="D19" s="375">
        <f>'[1]Thu NSDP 2026 (PL 03)'!D16</f>
        <v>242500</v>
      </c>
    </row>
    <row r="20" spans="1:4" s="379" customFormat="1" ht="18.75">
      <c r="A20" s="377"/>
      <c r="B20" s="378" t="s">
        <v>770</v>
      </c>
      <c r="C20" s="375">
        <f>'[1]Thu NSDP 2026 (PL 03)'!C17</f>
        <v>76000</v>
      </c>
      <c r="D20" s="375">
        <f>'[1]Thu NSDP 2026 (PL 03)'!D17</f>
        <v>77000</v>
      </c>
    </row>
    <row r="21" spans="1:4" s="379" customFormat="1" ht="18.75">
      <c r="A21" s="377"/>
      <c r="B21" s="378" t="s">
        <v>385</v>
      </c>
      <c r="C21" s="375">
        <f>'[1]Thu NSDP 2026 (PL 03)'!C18</f>
        <v>91000</v>
      </c>
      <c r="D21" s="375">
        <f>'[1]Thu NSDP 2026 (PL 03)'!D18</f>
        <v>100500</v>
      </c>
    </row>
    <row r="22" spans="1:4" s="376" customFormat="1" ht="18.75">
      <c r="A22" s="373">
        <v>4</v>
      </c>
      <c r="B22" s="374" t="s">
        <v>16</v>
      </c>
      <c r="C22" s="375">
        <f>C23+C24</f>
        <v>3618000</v>
      </c>
      <c r="D22" s="375">
        <f>D23+D24</f>
        <v>3950000</v>
      </c>
    </row>
    <row r="23" spans="1:4" s="379" customFormat="1" ht="37.5">
      <c r="A23" s="377"/>
      <c r="B23" s="378" t="s">
        <v>386</v>
      </c>
      <c r="C23" s="375">
        <f>'[1]Thu NSDP 2026 (PL 03)'!C20</f>
        <v>2668000</v>
      </c>
      <c r="D23" s="375">
        <f>'[1]Thu NSDP 2026 (PL 03)'!D20</f>
        <v>2943700</v>
      </c>
    </row>
    <row r="24" spans="1:4" s="379" customFormat="1" ht="18.75">
      <c r="A24" s="377"/>
      <c r="B24" s="378" t="s">
        <v>385</v>
      </c>
      <c r="C24" s="375">
        <f>'[1]Thu NSDP 2026 (PL 03)'!C21</f>
        <v>950000</v>
      </c>
      <c r="D24" s="375">
        <f>'[1]Thu NSDP 2026 (PL 03)'!D21</f>
        <v>1006300</v>
      </c>
    </row>
    <row r="25" spans="1:4" s="376" customFormat="1" ht="18.75">
      <c r="A25" s="373">
        <v>5</v>
      </c>
      <c r="B25" s="374" t="s">
        <v>60</v>
      </c>
      <c r="C25" s="375">
        <f>'[1]Thu NSDP 2026 (PL 03)'!C25</f>
        <v>750000</v>
      </c>
      <c r="D25" s="375">
        <f>'[1]Thu NSDP 2026 (PL 03)'!D25</f>
        <v>800000</v>
      </c>
    </row>
    <row r="26" spans="1:4" s="376" customFormat="1" ht="18.75">
      <c r="A26" s="373">
        <v>6</v>
      </c>
      <c r="B26" s="374" t="s">
        <v>30</v>
      </c>
      <c r="C26" s="375">
        <f>C27+C28</f>
        <v>278000</v>
      </c>
      <c r="D26" s="375">
        <f>D27+D28</f>
        <v>278000</v>
      </c>
    </row>
    <row r="27" spans="1:4" s="379" customFormat="1" ht="37.5">
      <c r="A27" s="380" t="s">
        <v>225</v>
      </c>
      <c r="B27" s="381" t="s">
        <v>221</v>
      </c>
      <c r="C27" s="375">
        <f>'[1]Thu NSDP 2026 (PL 03)'!C28</f>
        <v>166800</v>
      </c>
      <c r="D27" s="375">
        <f>'[1]Thu NSDP 2026 (PL 03)'!D28</f>
        <v>166800</v>
      </c>
    </row>
    <row r="28" spans="1:4" s="379" customFormat="1" ht="18.75">
      <c r="A28" s="380" t="s">
        <v>225</v>
      </c>
      <c r="B28" s="381" t="s">
        <v>222</v>
      </c>
      <c r="C28" s="375">
        <f>'[1]Thu NSDP 2026 (PL 03)'!C27</f>
        <v>111200</v>
      </c>
      <c r="D28" s="375">
        <f>'[1]Thu NSDP 2026 (PL 03)'!D27</f>
        <v>111200</v>
      </c>
    </row>
    <row r="29" spans="1:4" s="376" customFormat="1" ht="18.75">
      <c r="A29" s="373">
        <v>7</v>
      </c>
      <c r="B29" s="374" t="s">
        <v>59</v>
      </c>
      <c r="C29" s="375">
        <f>'[1]Thu NSDP 2026 (PL 03)'!C22</f>
        <v>530000</v>
      </c>
      <c r="D29" s="375">
        <f>'[1]Thu NSDP 2026 (PL 03)'!D22</f>
        <v>600000</v>
      </c>
    </row>
    <row r="30" spans="1:4" s="376" customFormat="1" ht="18.75">
      <c r="A30" s="373">
        <v>8</v>
      </c>
      <c r="B30" s="374" t="s">
        <v>61</v>
      </c>
      <c r="C30" s="375">
        <f>C31+C32</f>
        <v>580000</v>
      </c>
      <c r="D30" s="375">
        <f>D31+D32</f>
        <v>610000</v>
      </c>
    </row>
    <row r="31" spans="1:4" s="379" customFormat="1" ht="18.75">
      <c r="A31" s="382" t="s">
        <v>225</v>
      </c>
      <c r="B31" s="381" t="s">
        <v>103</v>
      </c>
      <c r="C31" s="375">
        <f>'[1]Thu NSDP 2026 (PL 03)'!C30</f>
        <v>62000</v>
      </c>
      <c r="D31" s="375">
        <f>'[1]Thu NSDP 2026 (PL 03)'!D30</f>
        <v>62000</v>
      </c>
    </row>
    <row r="32" spans="1:4" s="379" customFormat="1" ht="18.75">
      <c r="A32" s="382" t="s">
        <v>225</v>
      </c>
      <c r="B32" s="381" t="s">
        <v>104</v>
      </c>
      <c r="C32" s="375">
        <f>'[1]Thu NSDP 2026 (PL 03)'!C31</f>
        <v>518000</v>
      </c>
      <c r="D32" s="375">
        <f>'[1]Thu NSDP 2026 (PL 03)'!D31</f>
        <v>548000</v>
      </c>
    </row>
    <row r="33" spans="1:5" s="379" customFormat="1" ht="18.75" hidden="1">
      <c r="A33" s="382" t="s">
        <v>225</v>
      </c>
      <c r="B33" s="535" t="s">
        <v>223</v>
      </c>
      <c r="C33" s="375">
        <f>'[2]Bieu so 35'!E36</f>
        <v>0</v>
      </c>
      <c r="D33" s="375">
        <f>'[2]Bieu so 35'!F36</f>
        <v>0</v>
      </c>
    </row>
    <row r="34" spans="1:5" s="379" customFormat="1" ht="18.75">
      <c r="A34" s="382" t="s">
        <v>225</v>
      </c>
      <c r="B34" s="381" t="s">
        <v>224</v>
      </c>
      <c r="C34" s="375">
        <f>'[2]Bieu so 35'!E37</f>
        <v>0</v>
      </c>
      <c r="D34" s="375">
        <f>'[2]Bieu so 35'!F37</f>
        <v>0</v>
      </c>
    </row>
    <row r="35" spans="1:5" s="376" customFormat="1" ht="18.75">
      <c r="A35" s="373">
        <v>9</v>
      </c>
      <c r="B35" s="374" t="s">
        <v>208</v>
      </c>
      <c r="C35" s="375">
        <f>'[1]Thu NSDP 2026 (PL 03)'!C23</f>
        <v>50</v>
      </c>
      <c r="D35" s="375">
        <f>'[1]Thu NSDP 2026 (PL 03)'!D23</f>
        <v>50</v>
      </c>
    </row>
    <row r="36" spans="1:5" s="376" customFormat="1" ht="18.75">
      <c r="A36" s="373">
        <v>10</v>
      </c>
      <c r="B36" s="374" t="s">
        <v>11</v>
      </c>
      <c r="C36" s="375">
        <f>'[1]Thu NSDP 2026 (PL 03)'!C24</f>
        <v>22400</v>
      </c>
      <c r="D36" s="375">
        <f>'[1]Thu NSDP 2026 (PL 03)'!D24</f>
        <v>22400</v>
      </c>
    </row>
    <row r="37" spans="1:5" s="376" customFormat="1" ht="18.75">
      <c r="A37" s="373">
        <v>11</v>
      </c>
      <c r="B37" s="374" t="s">
        <v>98</v>
      </c>
      <c r="C37" s="375">
        <f>'[1]Thu NSDP 2026 (PL 03)'!C35</f>
        <v>190000</v>
      </c>
      <c r="D37" s="375">
        <f>'[1]Thu NSDP 2026 (PL 03)'!D35</f>
        <v>190000</v>
      </c>
    </row>
    <row r="38" spans="1:5" s="376" customFormat="1" ht="18.75">
      <c r="A38" s="373">
        <v>12</v>
      </c>
      <c r="B38" s="374" t="s">
        <v>84</v>
      </c>
      <c r="C38" s="375">
        <f>'[1]Thu NSDP 2026 (PL 03)'!C51</f>
        <v>6300000</v>
      </c>
      <c r="D38" s="375">
        <f>'[1]Thu NSDP 2026 (PL 03)'!D51</f>
        <v>10594000</v>
      </c>
    </row>
    <row r="39" spans="1:5" s="376" customFormat="1" ht="18.75">
      <c r="A39" s="373">
        <v>13</v>
      </c>
      <c r="B39" s="374" t="s">
        <v>209</v>
      </c>
      <c r="C39" s="375">
        <f>'[1]Thu NSDP 2026 (PL 03)'!C48</f>
        <v>3000</v>
      </c>
      <c r="D39" s="375">
        <f>'[1]Thu NSDP 2026 (PL 03)'!D48</f>
        <v>3000</v>
      </c>
    </row>
    <row r="40" spans="1:5" s="376" customFormat="1" ht="18.75">
      <c r="A40" s="373">
        <v>14</v>
      </c>
      <c r="B40" s="374" t="s">
        <v>17</v>
      </c>
      <c r="C40" s="375">
        <f>'[1]Thu NSDP 2026 (PL 03)'!C50</f>
        <v>70000</v>
      </c>
      <c r="D40" s="375">
        <f>'[1]Thu NSDP 2026 (PL 03)'!D50</f>
        <v>70000</v>
      </c>
    </row>
    <row r="41" spans="1:5" s="376" customFormat="1" ht="37.5">
      <c r="A41" s="373">
        <v>15</v>
      </c>
      <c r="B41" s="374" t="s">
        <v>102</v>
      </c>
      <c r="C41" s="375">
        <f>'[1]Thu NSDP 2026 (PL 03)'!C36</f>
        <v>250000</v>
      </c>
      <c r="D41" s="375">
        <f>'[1]Thu NSDP 2026 (PL 03)'!D36</f>
        <v>280000</v>
      </c>
    </row>
    <row r="42" spans="1:5" s="376" customFormat="1" ht="18.75">
      <c r="A42" s="373">
        <v>16</v>
      </c>
      <c r="B42" s="374" t="s">
        <v>12</v>
      </c>
      <c r="C42" s="375">
        <f>'[1]Thu NSDP 2026 (PL 03)'!C39-'[1]Thu NSDP 2026 (PL 03)'!C43</f>
        <v>375000</v>
      </c>
      <c r="D42" s="375">
        <f>'[1]Thu NSDP 2026 (PL 03)'!D39-'[1]Thu NSDP 2026 (PL 03)'!D43</f>
        <v>398000</v>
      </c>
      <c r="E42" s="536"/>
    </row>
    <row r="43" spans="1:5" s="376" customFormat="1" ht="18.75">
      <c r="A43" s="373">
        <v>17</v>
      </c>
      <c r="B43" s="374" t="s">
        <v>211</v>
      </c>
      <c r="C43" s="375">
        <f>'[1]Thu NSDP 2026 (PL 03)'!C43</f>
        <v>3550</v>
      </c>
      <c r="D43" s="375">
        <f>'[1]Thu NSDP 2026 (PL 03)'!D43</f>
        <v>3550</v>
      </c>
    </row>
    <row r="44" spans="1:5" s="376" customFormat="1" ht="56.25">
      <c r="A44" s="373">
        <v>18</v>
      </c>
      <c r="B44" s="383" t="s">
        <v>210</v>
      </c>
      <c r="C44" s="375">
        <f>'[1]Thu NSDP 2026 (PL 03)'!C45</f>
        <v>16000</v>
      </c>
      <c r="D44" s="375">
        <f>'[1]Thu NSDP 2026 (PL 03)'!D45</f>
        <v>16000</v>
      </c>
    </row>
    <row r="45" spans="1:5" s="376" customFormat="1" ht="37.5">
      <c r="A45" s="368" t="s">
        <v>49</v>
      </c>
      <c r="B45" s="384" t="s">
        <v>771</v>
      </c>
      <c r="C45" s="370">
        <f>'[1]Thu NSDP 2026 (PL 03)'!C62</f>
        <v>0</v>
      </c>
      <c r="D45" s="370">
        <f>'[1]Thu NSDP 2026 (PL 03)'!D62</f>
        <v>120000</v>
      </c>
    </row>
    <row r="46" spans="1:5" s="371" customFormat="1" ht="18.75">
      <c r="A46" s="368" t="s">
        <v>22</v>
      </c>
      <c r="B46" s="384" t="s">
        <v>212</v>
      </c>
      <c r="C46" s="370">
        <f>'[2]Bieu so 35'!E48</f>
        <v>0</v>
      </c>
      <c r="D46" s="370">
        <f>'[2]Bieu so 35'!F48</f>
        <v>0</v>
      </c>
    </row>
    <row r="47" spans="1:5" s="376" customFormat="1" ht="18.75">
      <c r="A47" s="368" t="s">
        <v>23</v>
      </c>
      <c r="B47" s="384" t="s">
        <v>213</v>
      </c>
      <c r="C47" s="370">
        <f>'[1]Thu NSDP 2026 (PL 03)'!C52</f>
        <v>1850000</v>
      </c>
      <c r="D47" s="370">
        <f>'[1]Thu NSDP 2026 (PL 03)'!D52</f>
        <v>2400000</v>
      </c>
    </row>
    <row r="48" spans="1:5" s="376" customFormat="1" ht="18.75">
      <c r="A48" s="373">
        <v>1</v>
      </c>
      <c r="B48" s="374" t="s">
        <v>214</v>
      </c>
      <c r="C48" s="375"/>
      <c r="D48" s="375">
        <f>'[2]Bieu so 35'!F50</f>
        <v>0</v>
      </c>
    </row>
    <row r="49" spans="1:4" s="376" customFormat="1" ht="18.75">
      <c r="A49" s="373">
        <v>2</v>
      </c>
      <c r="B49" s="374" t="s">
        <v>215</v>
      </c>
      <c r="C49" s="375"/>
      <c r="D49" s="375">
        <f>'[2]Bieu so 35'!F51</f>
        <v>0</v>
      </c>
    </row>
    <row r="50" spans="1:4" s="376" customFormat="1" ht="18.75">
      <c r="A50" s="373">
        <v>3</v>
      </c>
      <c r="B50" s="374" t="s">
        <v>216</v>
      </c>
      <c r="C50" s="375">
        <f>'[2]Bieu so 35'!E52</f>
        <v>0</v>
      </c>
      <c r="D50" s="375">
        <f>'[2]Bieu so 35'!F52</f>
        <v>0</v>
      </c>
    </row>
    <row r="51" spans="1:4" s="376" customFormat="1" ht="18.75">
      <c r="A51" s="373">
        <v>4</v>
      </c>
      <c r="B51" s="374" t="s">
        <v>217</v>
      </c>
      <c r="C51" s="375">
        <f>'[2]Bieu so 35'!E53</f>
        <v>0</v>
      </c>
      <c r="D51" s="375">
        <f>'[2]Bieu so 35'!F53</f>
        <v>0</v>
      </c>
    </row>
    <row r="52" spans="1:4" s="376" customFormat="1" ht="18.75">
      <c r="A52" s="373">
        <v>5</v>
      </c>
      <c r="B52" s="374" t="s">
        <v>218</v>
      </c>
      <c r="C52" s="375">
        <f>'[2]Bieu so 35'!E54</f>
        <v>0</v>
      </c>
      <c r="D52" s="375">
        <f>'[2]Bieu so 35'!F54</f>
        <v>0</v>
      </c>
    </row>
    <row r="53" spans="1:4" s="376" customFormat="1" ht="18.75">
      <c r="A53" s="373">
        <v>6</v>
      </c>
      <c r="B53" s="374" t="s">
        <v>219</v>
      </c>
      <c r="C53" s="375">
        <f>'[2]Bieu so 35'!E55</f>
        <v>0</v>
      </c>
      <c r="D53" s="375">
        <f>'[2]Bieu so 35'!F55</f>
        <v>0</v>
      </c>
    </row>
    <row r="54" spans="1:4" s="371" customFormat="1" ht="18.75">
      <c r="A54" s="368" t="s">
        <v>24</v>
      </c>
      <c r="B54" s="384" t="s">
        <v>220</v>
      </c>
      <c r="C54" s="375">
        <f>'[2]Bieu so 35'!E56</f>
        <v>0</v>
      </c>
      <c r="D54" s="375">
        <f>'[2]Bieu so 35'!F56</f>
        <v>0</v>
      </c>
    </row>
    <row r="55" spans="1:4" ht="17.25" customHeight="1"/>
  </sheetData>
  <mergeCells count="10">
    <mergeCell ref="C1:D1"/>
    <mergeCell ref="C6:D6"/>
    <mergeCell ref="C8:C9"/>
    <mergeCell ref="D8:D9"/>
    <mergeCell ref="C7:D7"/>
    <mergeCell ref="A3:D3"/>
    <mergeCell ref="B7:B9"/>
    <mergeCell ref="A7:A9"/>
    <mergeCell ref="A4:D4"/>
    <mergeCell ref="A1:B1"/>
  </mergeCells>
  <phoneticPr fontId="5" type="noConversion"/>
  <pageMargins left="0.82" right="0" top="0.82677165354330695" bottom="0.61" header="0.74803149606299202" footer="0.23622047244094499"/>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FF00"/>
  </sheetPr>
  <dimension ref="A1:F37"/>
  <sheetViews>
    <sheetView showZeros="0" topLeftCell="A19" workbookViewId="0">
      <selection activeCell="B19" sqref="B19"/>
    </sheetView>
  </sheetViews>
  <sheetFormatPr defaultColWidth="9.140625" defaultRowHeight="12.75"/>
  <cols>
    <col min="1" max="1" width="7.5703125" style="363" customWidth="1"/>
    <col min="2" max="2" width="54.28515625" style="363" customWidth="1"/>
    <col min="3" max="3" width="13.42578125" style="513" customWidth="1"/>
    <col min="4" max="4" width="12.28515625" style="513" customWidth="1"/>
    <col min="5" max="5" width="15.42578125" style="363" customWidth="1"/>
    <col min="6" max="6" width="10.140625" style="363" bestFit="1" customWidth="1"/>
    <col min="7" max="16384" width="9.140625" style="363"/>
  </cols>
  <sheetData>
    <row r="1" spans="1:6" ht="15.75">
      <c r="A1" s="715" t="s">
        <v>1629</v>
      </c>
      <c r="B1" s="715"/>
      <c r="C1" s="708" t="s">
        <v>371</v>
      </c>
      <c r="D1" s="708"/>
      <c r="E1" s="708"/>
    </row>
    <row r="2" spans="1:6" ht="15">
      <c r="A2" s="385"/>
      <c r="B2" s="385"/>
      <c r="C2" s="503"/>
      <c r="D2" s="503"/>
      <c r="E2" s="385"/>
    </row>
    <row r="3" spans="1:6" ht="42.6" customHeight="1">
      <c r="A3" s="725" t="s">
        <v>1642</v>
      </c>
      <c r="B3" s="726"/>
      <c r="C3" s="726"/>
      <c r="D3" s="726"/>
      <c r="E3" s="726"/>
    </row>
    <row r="4" spans="1:6" ht="16.5">
      <c r="A4" s="724" t="s">
        <v>147</v>
      </c>
      <c r="B4" s="724"/>
      <c r="C4" s="724"/>
      <c r="D4" s="724"/>
      <c r="E4" s="724"/>
    </row>
    <row r="5" spans="1:6" ht="15">
      <c r="A5" s="386"/>
      <c r="B5" s="386"/>
      <c r="C5" s="504"/>
      <c r="D5" s="504"/>
      <c r="E5" s="386"/>
    </row>
    <row r="6" spans="1:6" ht="15.75">
      <c r="A6" s="366"/>
      <c r="B6" s="366"/>
      <c r="C6" s="505"/>
      <c r="D6" s="709" t="s">
        <v>1</v>
      </c>
      <c r="E6" s="709"/>
    </row>
    <row r="7" spans="1:6" ht="22.15" customHeight="1">
      <c r="A7" s="720" t="s">
        <v>65</v>
      </c>
      <c r="B7" s="720" t="s">
        <v>185</v>
      </c>
      <c r="C7" s="718" t="s">
        <v>226</v>
      </c>
      <c r="D7" s="716" t="s">
        <v>372</v>
      </c>
      <c r="E7" s="717"/>
    </row>
    <row r="8" spans="1:6" ht="15" customHeight="1">
      <c r="A8" s="722"/>
      <c r="B8" s="722"/>
      <c r="C8" s="723"/>
      <c r="D8" s="718" t="s">
        <v>29</v>
      </c>
      <c r="E8" s="720" t="s">
        <v>772</v>
      </c>
    </row>
    <row r="9" spans="1:6" ht="38.450000000000003" customHeight="1">
      <c r="A9" s="721"/>
      <c r="B9" s="721"/>
      <c r="C9" s="719"/>
      <c r="D9" s="719"/>
      <c r="E9" s="721"/>
    </row>
    <row r="10" spans="1:6" s="14" customFormat="1" ht="18" customHeight="1">
      <c r="A10" s="387"/>
      <c r="B10" s="388" t="s">
        <v>227</v>
      </c>
      <c r="C10" s="506">
        <f>C11+C31+C37</f>
        <v>38995466.946736634</v>
      </c>
      <c r="D10" s="506">
        <f t="shared" ref="D10:E10" si="0">D11+D31+D37</f>
        <v>22499923.500601888</v>
      </c>
      <c r="E10" s="54">
        <f t="shared" si="0"/>
        <v>16495543.446134744</v>
      </c>
      <c r="F10" s="538"/>
    </row>
    <row r="11" spans="1:6" s="14" customFormat="1" ht="18" customHeight="1">
      <c r="A11" s="387" t="s">
        <v>55</v>
      </c>
      <c r="B11" s="388" t="s">
        <v>228</v>
      </c>
      <c r="C11" s="506">
        <f>C12+C22+C26+C27+C28+C29+C30</f>
        <v>38477093.946736634</v>
      </c>
      <c r="D11" s="506">
        <f>D12+D22+D26+D27+D28+D29+D30</f>
        <v>21981550.500601888</v>
      </c>
      <c r="E11" s="506">
        <f>E12+E22+E26+E27+E28+E29+E30</f>
        <v>16495543.446134744</v>
      </c>
      <c r="F11" s="538">
        <f>C11-'[3]Chi NSDP 2026 (PL 04)'!$I$15</f>
        <v>0</v>
      </c>
    </row>
    <row r="12" spans="1:6" ht="18" customHeight="1">
      <c r="A12" s="387" t="s">
        <v>97</v>
      </c>
      <c r="B12" s="389" t="s">
        <v>8</v>
      </c>
      <c r="C12" s="506">
        <f>C13+C20+C21</f>
        <v>10500600</v>
      </c>
      <c r="D12" s="506">
        <f>D13+D21</f>
        <v>8159600</v>
      </c>
      <c r="E12" s="506">
        <f>E13+E21</f>
        <v>2341000</v>
      </c>
      <c r="F12" s="537"/>
    </row>
    <row r="13" spans="1:6" ht="18" customHeight="1">
      <c r="A13" s="390">
        <v>1</v>
      </c>
      <c r="B13" s="391" t="s">
        <v>229</v>
      </c>
      <c r="C13" s="507">
        <f>D13+E13</f>
        <v>9568910</v>
      </c>
      <c r="D13" s="507">
        <v>7420010</v>
      </c>
      <c r="E13" s="507">
        <v>2148900</v>
      </c>
    </row>
    <row r="14" spans="1:6" ht="18" customHeight="1">
      <c r="A14" s="390"/>
      <c r="B14" s="391" t="s">
        <v>235</v>
      </c>
      <c r="C14" s="507">
        <f t="shared" ref="C14:C21" si="1">D14+E14</f>
        <v>0</v>
      </c>
      <c r="D14" s="507"/>
      <c r="E14" s="51"/>
    </row>
    <row r="15" spans="1:6" s="394" customFormat="1" ht="18" customHeight="1">
      <c r="A15" s="392" t="s">
        <v>225</v>
      </c>
      <c r="B15" s="393" t="s">
        <v>231</v>
      </c>
      <c r="C15" s="507">
        <f t="shared" si="1"/>
        <v>0</v>
      </c>
      <c r="D15" s="508"/>
      <c r="E15" s="52"/>
    </row>
    <row r="16" spans="1:6" s="394" customFormat="1" ht="18" customHeight="1">
      <c r="A16" s="392" t="s">
        <v>225</v>
      </c>
      <c r="B16" s="393" t="s">
        <v>232</v>
      </c>
      <c r="C16" s="507">
        <f t="shared" si="1"/>
        <v>387000</v>
      </c>
      <c r="D16" s="693">
        <v>387000</v>
      </c>
      <c r="E16" s="694"/>
    </row>
    <row r="17" spans="1:5" ht="18" customHeight="1">
      <c r="A17" s="390"/>
      <c r="B17" s="391" t="s">
        <v>236</v>
      </c>
      <c r="C17" s="507">
        <f t="shared" si="1"/>
        <v>0</v>
      </c>
      <c r="D17" s="693"/>
      <c r="E17" s="694"/>
    </row>
    <row r="18" spans="1:5" s="394" customFormat="1" ht="18" customHeight="1">
      <c r="A18" s="392" t="s">
        <v>225</v>
      </c>
      <c r="B18" s="393" t="s">
        <v>233</v>
      </c>
      <c r="C18" s="507">
        <f t="shared" si="1"/>
        <v>8104410</v>
      </c>
      <c r="D18" s="241">
        <v>6375510</v>
      </c>
      <c r="E18" s="695">
        <v>1728900</v>
      </c>
    </row>
    <row r="19" spans="1:5" s="394" customFormat="1" ht="18" customHeight="1">
      <c r="A19" s="392" t="s">
        <v>225</v>
      </c>
      <c r="B19" s="393" t="s">
        <v>234</v>
      </c>
      <c r="C19" s="507">
        <f t="shared" si="1"/>
        <v>70000</v>
      </c>
      <c r="D19" s="509">
        <v>70000</v>
      </c>
      <c r="E19" s="52">
        <v>0</v>
      </c>
    </row>
    <row r="20" spans="1:5" ht="64.150000000000006" customHeight="1">
      <c r="A20" s="390">
        <v>2</v>
      </c>
      <c r="B20" s="395" t="s">
        <v>360</v>
      </c>
      <c r="C20" s="507">
        <f t="shared" si="1"/>
        <v>0</v>
      </c>
      <c r="D20" s="507"/>
      <c r="E20" s="51"/>
    </row>
    <row r="21" spans="1:5" ht="21" customHeight="1">
      <c r="A21" s="390">
        <v>3</v>
      </c>
      <c r="B21" s="391" t="s">
        <v>230</v>
      </c>
      <c r="C21" s="507">
        <f t="shared" si="1"/>
        <v>931690</v>
      </c>
      <c r="D21" s="500">
        <v>739590</v>
      </c>
      <c r="E21" s="500">
        <v>192100</v>
      </c>
    </row>
    <row r="22" spans="1:5" ht="21" customHeight="1">
      <c r="A22" s="387" t="s">
        <v>49</v>
      </c>
      <c r="B22" s="389" t="s">
        <v>106</v>
      </c>
      <c r="C22" s="510">
        <f>D22+E22</f>
        <v>26269385.746736631</v>
      </c>
      <c r="D22" s="511">
        <v>12424086.385098202</v>
      </c>
      <c r="E22" s="439">
        <v>13845299.361638427</v>
      </c>
    </row>
    <row r="23" spans="1:5" s="14" customFormat="1" ht="21" customHeight="1">
      <c r="A23" s="390"/>
      <c r="B23" s="391" t="s">
        <v>153</v>
      </c>
      <c r="C23" s="510">
        <f t="shared" ref="C23:C25" si="2">D23+E23</f>
        <v>0</v>
      </c>
      <c r="D23" s="507"/>
      <c r="E23" s="51"/>
    </row>
    <row r="24" spans="1:5" s="394" customFormat="1" ht="21" customHeight="1">
      <c r="A24" s="396">
        <v>1</v>
      </c>
      <c r="B24" s="393" t="s">
        <v>231</v>
      </c>
      <c r="C24" s="539">
        <f t="shared" si="2"/>
        <v>12556669.781902399</v>
      </c>
      <c r="D24" s="509">
        <v>3677416.1912548458</v>
      </c>
      <c r="E24" s="53">
        <v>8879253.590647554</v>
      </c>
    </row>
    <row r="25" spans="1:5" s="394" customFormat="1" ht="21" customHeight="1">
      <c r="A25" s="396">
        <v>2</v>
      </c>
      <c r="B25" s="393" t="s">
        <v>232</v>
      </c>
      <c r="C25" s="539">
        <f t="shared" si="2"/>
        <v>351913.80299999996</v>
      </c>
      <c r="D25" s="509">
        <v>351913.80299999996</v>
      </c>
      <c r="E25" s="52">
        <v>0</v>
      </c>
    </row>
    <row r="26" spans="1:5" ht="24.6" customHeight="1">
      <c r="A26" s="387" t="s">
        <v>22</v>
      </c>
      <c r="B26" s="389" t="s">
        <v>189</v>
      </c>
      <c r="C26" s="506">
        <f>D26+E26</f>
        <v>43200</v>
      </c>
      <c r="D26" s="511">
        <f>'[1]Chi NSDP 2026 (PL 04)'!$J$58</f>
        <v>43200</v>
      </c>
      <c r="E26" s="54">
        <v>0</v>
      </c>
    </row>
    <row r="27" spans="1:5" ht="24.6" customHeight="1">
      <c r="A27" s="387" t="s">
        <v>23</v>
      </c>
      <c r="B27" s="389" t="s">
        <v>114</v>
      </c>
      <c r="C27" s="506">
        <f t="shared" ref="C27:C31" si="3">D27+E27</f>
        <v>2300</v>
      </c>
      <c r="D27" s="506">
        <f>'[1]Chi NSDP 2026 (PL 04)'!$J$59</f>
        <v>2300</v>
      </c>
      <c r="E27" s="54">
        <v>0</v>
      </c>
    </row>
    <row r="28" spans="1:5" ht="24.6" customHeight="1">
      <c r="A28" s="387" t="s">
        <v>24</v>
      </c>
      <c r="B28" s="389" t="s">
        <v>4</v>
      </c>
      <c r="C28" s="506">
        <f t="shared" si="3"/>
        <v>866563.2</v>
      </c>
      <c r="D28" s="510">
        <f>'[1]Chi NSDP 2026 (PL 04)'!J62</f>
        <v>557319.11550368206</v>
      </c>
      <c r="E28" s="439">
        <f>'[3]Chi NSDP 2026 (PL 04)'!$W$62</f>
        <v>309244.08449631784</v>
      </c>
    </row>
    <row r="29" spans="1:5" ht="24.6" customHeight="1">
      <c r="A29" s="387" t="s">
        <v>25</v>
      </c>
      <c r="B29" s="389" t="s">
        <v>115</v>
      </c>
      <c r="C29" s="506">
        <f t="shared" si="3"/>
        <v>675045</v>
      </c>
      <c r="D29" s="511">
        <f>'[1]Chi NSDP 2026 (PL 04)'!$J$61</f>
        <v>675045</v>
      </c>
      <c r="E29" s="54">
        <v>0</v>
      </c>
    </row>
    <row r="30" spans="1:5" ht="24.6" customHeight="1">
      <c r="A30" s="387" t="s">
        <v>26</v>
      </c>
      <c r="B30" s="389" t="s">
        <v>773</v>
      </c>
      <c r="C30" s="506">
        <f t="shared" si="3"/>
        <v>120000</v>
      </c>
      <c r="D30" s="511">
        <f>'[1]Chi NSDP 2026 (PL 04)'!$J$60</f>
        <v>120000</v>
      </c>
      <c r="E30" s="54"/>
    </row>
    <row r="31" spans="1:5" s="14" customFormat="1" ht="24.6" customHeight="1">
      <c r="A31" s="387" t="s">
        <v>56</v>
      </c>
      <c r="B31" s="389" t="s">
        <v>237</v>
      </c>
      <c r="C31" s="506">
        <f t="shared" si="3"/>
        <v>518373</v>
      </c>
      <c r="D31" s="506">
        <f>'[3]Chi NSDP 2026 (PL 04)'!$J$63</f>
        <v>518373</v>
      </c>
      <c r="E31" s="54">
        <v>0</v>
      </c>
    </row>
    <row r="32" spans="1:5" s="397" customFormat="1" ht="24.6" customHeight="1">
      <c r="A32" s="387" t="s">
        <v>97</v>
      </c>
      <c r="B32" s="389" t="s">
        <v>36</v>
      </c>
      <c r="C32" s="506">
        <f>C33+C34+C35</f>
        <v>0</v>
      </c>
      <c r="D32" s="506"/>
      <c r="E32" s="54">
        <v>0</v>
      </c>
    </row>
    <row r="33" spans="1:5" s="14" customFormat="1" ht="31.5">
      <c r="A33" s="390">
        <v>1</v>
      </c>
      <c r="B33" s="398" t="s">
        <v>486</v>
      </c>
      <c r="C33" s="500"/>
      <c r="D33" s="500"/>
      <c r="E33" s="51">
        <v>0</v>
      </c>
    </row>
    <row r="34" spans="1:5" s="14" customFormat="1" ht="21.6" customHeight="1">
      <c r="A34" s="390">
        <v>2</v>
      </c>
      <c r="B34" s="398" t="s">
        <v>487</v>
      </c>
      <c r="C34" s="500"/>
      <c r="D34" s="500"/>
      <c r="E34" s="51">
        <v>0</v>
      </c>
    </row>
    <row r="35" spans="1:5" s="14" customFormat="1" ht="21.6" customHeight="1">
      <c r="A35" s="390">
        <v>3</v>
      </c>
      <c r="B35" s="398" t="s">
        <v>488</v>
      </c>
      <c r="C35" s="500"/>
      <c r="D35" s="500"/>
      <c r="E35" s="51">
        <v>0</v>
      </c>
    </row>
    <row r="36" spans="1:5" s="397" customFormat="1" ht="21.6" customHeight="1">
      <c r="A36" s="387" t="s">
        <v>49</v>
      </c>
      <c r="B36" s="389" t="s">
        <v>190</v>
      </c>
      <c r="C36" s="506">
        <v>518373</v>
      </c>
      <c r="D36" s="353">
        <v>518373</v>
      </c>
      <c r="E36" s="54">
        <v>0</v>
      </c>
    </row>
    <row r="37" spans="1:5" s="397" customFormat="1" ht="21.6" customHeight="1">
      <c r="A37" s="399" t="s">
        <v>57</v>
      </c>
      <c r="B37" s="400" t="s">
        <v>238</v>
      </c>
      <c r="C37" s="512"/>
      <c r="D37" s="512"/>
      <c r="E37" s="400"/>
    </row>
  </sheetData>
  <mergeCells count="11">
    <mergeCell ref="C1:E1"/>
    <mergeCell ref="A1:B1"/>
    <mergeCell ref="A4:E4"/>
    <mergeCell ref="A3:E3"/>
    <mergeCell ref="D6:E6"/>
    <mergeCell ref="D7:E7"/>
    <mergeCell ref="D8:D9"/>
    <mergeCell ref="E8:E9"/>
    <mergeCell ref="A7:A9"/>
    <mergeCell ref="B7:B9"/>
    <mergeCell ref="C7:C9"/>
  </mergeCells>
  <phoneticPr fontId="5" type="noConversion"/>
  <pageMargins left="0.86614173228346503" right="0.43307086614173201" top="0.78740157480314998" bottom="0.86614173228346503" header="0.511811023622047" footer="0.23622047244094499"/>
  <pageSetup paperSize="9" scale="8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48"/>
  <sheetViews>
    <sheetView showZeros="0" topLeftCell="A10" workbookViewId="0">
      <selection activeCell="B19" sqref="B18:B19"/>
    </sheetView>
  </sheetViews>
  <sheetFormatPr defaultColWidth="9.140625" defaultRowHeight="12.75"/>
  <cols>
    <col min="1" max="1" width="5.42578125" style="363" customWidth="1"/>
    <col min="2" max="2" width="70.42578125" style="363" customWidth="1"/>
    <col min="3" max="3" width="18.5703125" style="363" customWidth="1"/>
    <col min="4" max="4" width="12.28515625" style="363" customWidth="1"/>
    <col min="5" max="6" width="9.140625" style="363"/>
    <col min="7" max="7" width="11.42578125" style="363" bestFit="1" customWidth="1"/>
    <col min="8" max="16384" width="9.140625" style="363"/>
  </cols>
  <sheetData>
    <row r="1" spans="1:4" ht="15.75">
      <c r="A1" s="728" t="s">
        <v>1632</v>
      </c>
      <c r="B1" s="728"/>
      <c r="C1" s="728"/>
    </row>
    <row r="2" spans="1:4" ht="18.75">
      <c r="A2" s="401"/>
      <c r="B2" s="402"/>
      <c r="C2" s="403"/>
    </row>
    <row r="3" spans="1:4" s="376" customFormat="1" ht="18.75">
      <c r="A3" s="726" t="s">
        <v>1633</v>
      </c>
      <c r="B3" s="726"/>
      <c r="C3" s="726"/>
    </row>
    <row r="4" spans="1:4" s="376" customFormat="1" ht="18.75">
      <c r="A4" s="727" t="s">
        <v>147</v>
      </c>
      <c r="B4" s="727"/>
      <c r="C4" s="727"/>
    </row>
    <row r="5" spans="1:4" ht="18.75">
      <c r="A5" s="404"/>
      <c r="B5" s="404"/>
      <c r="C5" s="404"/>
    </row>
    <row r="6" spans="1:4" ht="15.75">
      <c r="A6" s="405"/>
      <c r="B6" s="406"/>
      <c r="C6" s="23" t="s">
        <v>64</v>
      </c>
    </row>
    <row r="7" spans="1:4" s="60" customFormat="1" ht="20.45" customHeight="1">
      <c r="A7" s="407" t="s">
        <v>65</v>
      </c>
      <c r="B7" s="407" t="s">
        <v>185</v>
      </c>
      <c r="C7" s="408" t="s">
        <v>246</v>
      </c>
    </row>
    <row r="8" spans="1:4" s="60" customFormat="1" ht="17.25" customHeight="1">
      <c r="A8" s="57"/>
      <c r="B8" s="409" t="s">
        <v>6</v>
      </c>
      <c r="C8" s="564">
        <f>C9+C10+C44</f>
        <v>30260813.957996096</v>
      </c>
      <c r="D8" s="59"/>
    </row>
    <row r="9" spans="1:4" s="60" customFormat="1" ht="17.25" customHeight="1">
      <c r="A9" s="57" t="s">
        <v>55</v>
      </c>
      <c r="B9" s="410" t="s">
        <v>1635</v>
      </c>
      <c r="C9" s="56">
        <f>'[3]Cân đối NS tỉnh 2026(PL 02)'!$C$24</f>
        <v>8279263.4573942097</v>
      </c>
    </row>
    <row r="10" spans="1:4" s="60" customFormat="1" ht="17.25" customHeight="1">
      <c r="A10" s="57" t="s">
        <v>56</v>
      </c>
      <c r="B10" s="410" t="s">
        <v>113</v>
      </c>
      <c r="C10" s="56">
        <f>C12+C27+C39+C40+C41+C42+C43</f>
        <v>21981550.500601888</v>
      </c>
      <c r="D10" s="59"/>
    </row>
    <row r="11" spans="1:4" s="60" customFormat="1" ht="17.25" customHeight="1">
      <c r="A11" s="57"/>
      <c r="B11" s="411" t="s">
        <v>153</v>
      </c>
      <c r="C11" s="56"/>
    </row>
    <row r="12" spans="1:4" s="60" customFormat="1" ht="17.25" customHeight="1">
      <c r="A12" s="57" t="s">
        <v>97</v>
      </c>
      <c r="B12" s="58" t="s">
        <v>8</v>
      </c>
      <c r="C12" s="40">
        <f>'Bieu so 49'!D12</f>
        <v>8159600</v>
      </c>
      <c r="D12" s="59"/>
    </row>
    <row r="13" spans="1:4" s="60" customFormat="1" ht="17.25" customHeight="1">
      <c r="A13" s="62">
        <v>1</v>
      </c>
      <c r="B13" s="63" t="s">
        <v>229</v>
      </c>
      <c r="C13" s="46">
        <f>'Bieu so 49'!D13</f>
        <v>7420010</v>
      </c>
      <c r="D13" s="59"/>
    </row>
    <row r="14" spans="1:4" s="413" customFormat="1" ht="17.25" customHeight="1">
      <c r="A14" s="412"/>
      <c r="B14" s="61" t="s">
        <v>153</v>
      </c>
      <c r="C14" s="483"/>
    </row>
    <row r="15" spans="1:4" s="60" customFormat="1" ht="17.25" customHeight="1">
      <c r="A15" s="62" t="s">
        <v>85</v>
      </c>
      <c r="B15" s="63" t="s">
        <v>231</v>
      </c>
      <c r="C15" s="484">
        <f>'Bieu so 52'!F8</f>
        <v>292172</v>
      </c>
    </row>
    <row r="16" spans="1:4" s="60" customFormat="1" ht="17.25" customHeight="1">
      <c r="A16" s="62" t="s">
        <v>86</v>
      </c>
      <c r="B16" s="63" t="s">
        <v>232</v>
      </c>
      <c r="C16" s="484">
        <f>'Bieu so 52'!G8</f>
        <v>0</v>
      </c>
    </row>
    <row r="17" spans="1:4" s="60" customFormat="1" ht="17.25" customHeight="1">
      <c r="A17" s="62" t="s">
        <v>87</v>
      </c>
      <c r="B17" s="63" t="s">
        <v>239</v>
      </c>
      <c r="C17" s="484">
        <f>'Bieu so 52'!H8</f>
        <v>43200</v>
      </c>
    </row>
    <row r="18" spans="1:4" s="60" customFormat="1" ht="17.25" customHeight="1">
      <c r="A18" s="62" t="s">
        <v>88</v>
      </c>
      <c r="B18" s="63" t="s">
        <v>240</v>
      </c>
      <c r="C18" s="484">
        <f>'Bieu so 52'!I8</f>
        <v>0</v>
      </c>
    </row>
    <row r="19" spans="1:4" s="60" customFormat="1" ht="17.25" customHeight="1">
      <c r="A19" s="62" t="s">
        <v>89</v>
      </c>
      <c r="B19" s="63" t="s">
        <v>241</v>
      </c>
      <c r="C19" s="484">
        <f>'Bieu so 52'!J8</f>
        <v>0</v>
      </c>
    </row>
    <row r="20" spans="1:4" s="60" customFormat="1" ht="17.25" customHeight="1">
      <c r="A20" s="62" t="s">
        <v>90</v>
      </c>
      <c r="B20" s="63" t="s">
        <v>242</v>
      </c>
      <c r="C20" s="484">
        <f>'Bieu so 52'!K8</f>
        <v>0</v>
      </c>
    </row>
    <row r="21" spans="1:4" s="60" customFormat="1" ht="17.25" customHeight="1">
      <c r="A21" s="62" t="s">
        <v>91</v>
      </c>
      <c r="B21" s="63" t="s">
        <v>243</v>
      </c>
      <c r="C21" s="484">
        <f>'Bieu so 52'!L8</f>
        <v>2600</v>
      </c>
    </row>
    <row r="22" spans="1:4" s="60" customFormat="1" ht="17.25" customHeight="1">
      <c r="A22" s="62" t="s">
        <v>92</v>
      </c>
      <c r="B22" s="63" t="s">
        <v>244</v>
      </c>
      <c r="C22" s="484">
        <f>'Bieu so 52'!M8</f>
        <v>3976484.4</v>
      </c>
    </row>
    <row r="23" spans="1:4" s="60" customFormat="1" ht="17.25" customHeight="1">
      <c r="A23" s="62" t="s">
        <v>93</v>
      </c>
      <c r="B23" s="63" t="s">
        <v>245</v>
      </c>
      <c r="C23" s="484">
        <f>'Bieu so 52'!N8</f>
        <v>208959</v>
      </c>
    </row>
    <row r="24" spans="1:4" s="60" customFormat="1" ht="17.25" customHeight="1">
      <c r="A24" s="62" t="s">
        <v>94</v>
      </c>
      <c r="B24" s="63" t="s">
        <v>41</v>
      </c>
      <c r="C24" s="484">
        <f>'Bieu so 52'!O8</f>
        <v>0</v>
      </c>
    </row>
    <row r="25" spans="1:4" s="60" customFormat="1" ht="60" customHeight="1">
      <c r="A25" s="62">
        <v>2</v>
      </c>
      <c r="B25" s="414" t="s">
        <v>360</v>
      </c>
      <c r="C25" s="484"/>
    </row>
    <row r="26" spans="1:4" s="60" customFormat="1" ht="24.75" customHeight="1">
      <c r="A26" s="62">
        <v>3</v>
      </c>
      <c r="B26" s="415" t="s">
        <v>230</v>
      </c>
      <c r="C26" s="484"/>
    </row>
    <row r="27" spans="1:4" s="60" customFormat="1" ht="17.25" customHeight="1">
      <c r="A27" s="57" t="s">
        <v>49</v>
      </c>
      <c r="B27" s="58" t="s">
        <v>10</v>
      </c>
      <c r="C27" s="56">
        <f>'Bieu so 49'!D22</f>
        <v>12424086.385098202</v>
      </c>
      <c r="D27" s="59"/>
    </row>
    <row r="28" spans="1:4" s="60" customFormat="1" ht="17.25" customHeight="1">
      <c r="A28" s="57"/>
      <c r="B28" s="61" t="s">
        <v>153</v>
      </c>
      <c r="C28" s="56"/>
    </row>
    <row r="29" spans="1:4" s="60" customFormat="1" ht="17.25" customHeight="1">
      <c r="A29" s="62">
        <v>1</v>
      </c>
      <c r="B29" s="63" t="s">
        <v>231</v>
      </c>
      <c r="C29" s="13">
        <f>'[3]Chi NSDP 2026 (PL 04)'!$J$34</f>
        <v>3677416.1912548458</v>
      </c>
      <c r="D29" s="59"/>
    </row>
    <row r="30" spans="1:4" s="60" customFormat="1" ht="17.25" customHeight="1">
      <c r="A30" s="62">
        <v>2</v>
      </c>
      <c r="B30" s="63" t="s">
        <v>232</v>
      </c>
      <c r="C30" s="13">
        <f>'[3]Chi NSDP 2026 (PL 04)'!$J$37</f>
        <v>351913.80299999996</v>
      </c>
    </row>
    <row r="31" spans="1:4" s="60" customFormat="1" ht="17.25" customHeight="1">
      <c r="A31" s="62">
        <v>3</v>
      </c>
      <c r="B31" s="63" t="s">
        <v>239</v>
      </c>
      <c r="C31" s="13">
        <f>'[3]Chi NSDP 2026 (PL 04)'!$J$38</f>
        <v>1932793.6</v>
      </c>
    </row>
    <row r="32" spans="1:4" s="60" customFormat="1" ht="17.25" customHeight="1">
      <c r="A32" s="62">
        <v>4</v>
      </c>
      <c r="B32" s="63" t="s">
        <v>240</v>
      </c>
      <c r="C32" s="13">
        <f>'[3]Chi NSDP 2026 (PL 04)'!$J$39</f>
        <v>202290.90963516</v>
      </c>
    </row>
    <row r="33" spans="1:7" s="60" customFormat="1" ht="17.25" customHeight="1">
      <c r="A33" s="62">
        <v>5</v>
      </c>
      <c r="B33" s="63" t="s">
        <v>241</v>
      </c>
      <c r="C33" s="13">
        <f>'[3]Chi NSDP 2026 (PL 04)'!$J$43</f>
        <v>113107</v>
      </c>
    </row>
    <row r="34" spans="1:7" s="60" customFormat="1" ht="17.25" customHeight="1">
      <c r="A34" s="62">
        <v>6</v>
      </c>
      <c r="B34" s="63" t="s">
        <v>242</v>
      </c>
      <c r="C34" s="13">
        <f>'[3]Chi NSDP 2026 (PL 04)'!$J$42</f>
        <v>81797</v>
      </c>
    </row>
    <row r="35" spans="1:7" s="60" customFormat="1" ht="17.25" customHeight="1">
      <c r="A35" s="62">
        <v>7</v>
      </c>
      <c r="B35" s="63" t="s">
        <v>243</v>
      </c>
      <c r="C35" s="13">
        <f>'[3]Chi NSDP 2026 (PL 04)'!$J$33</f>
        <v>13450</v>
      </c>
    </row>
    <row r="36" spans="1:7" s="60" customFormat="1" ht="17.25" customHeight="1">
      <c r="A36" s="62">
        <v>8</v>
      </c>
      <c r="B36" s="63" t="s">
        <v>244</v>
      </c>
      <c r="C36" s="13">
        <f>'[3]Chi NSDP 2026 (PL 04)'!$J$27</f>
        <v>1116544.2020254801</v>
      </c>
    </row>
    <row r="37" spans="1:7" s="60" customFormat="1" ht="17.25" customHeight="1">
      <c r="A37" s="62">
        <v>9</v>
      </c>
      <c r="B37" s="63" t="s">
        <v>245</v>
      </c>
      <c r="C37" s="13">
        <f>'[3]Chi NSDP 2026 (PL 04)'!$J$45</f>
        <v>1422685.505475116</v>
      </c>
      <c r="G37" s="59"/>
    </row>
    <row r="38" spans="1:7" s="60" customFormat="1" ht="17.25" customHeight="1">
      <c r="A38" s="62">
        <v>10</v>
      </c>
      <c r="B38" s="63" t="s">
        <v>41</v>
      </c>
      <c r="C38" s="13">
        <f>'[3]Chi NSDP 2026 (PL 04)'!$J$44</f>
        <v>654369.17370759998</v>
      </c>
    </row>
    <row r="39" spans="1:7" s="60" customFormat="1" ht="16.5">
      <c r="A39" s="57" t="s">
        <v>22</v>
      </c>
      <c r="B39" s="64" t="s">
        <v>189</v>
      </c>
      <c r="C39" s="40">
        <f>'[3]Chi NSDP 2026 (PL 04)'!$J$58</f>
        <v>43200</v>
      </c>
      <c r="G39" s="59"/>
    </row>
    <row r="40" spans="1:7" s="60" customFormat="1" ht="16.5">
      <c r="A40" s="57" t="s">
        <v>23</v>
      </c>
      <c r="B40" s="64" t="s">
        <v>114</v>
      </c>
      <c r="C40" s="40">
        <f>'[3]Chi NSDP 2026 (PL 04)'!$J$59</f>
        <v>2300</v>
      </c>
    </row>
    <row r="41" spans="1:7" s="60" customFormat="1" ht="16.5">
      <c r="A41" s="57" t="s">
        <v>24</v>
      </c>
      <c r="B41" s="64" t="s">
        <v>4</v>
      </c>
      <c r="C41" s="40">
        <f>'[3]Chi NSDP 2026 (PL 04)'!$J$62</f>
        <v>557319.11550368206</v>
      </c>
      <c r="G41" s="59"/>
    </row>
    <row r="42" spans="1:7" s="60" customFormat="1" ht="16.5">
      <c r="A42" s="57" t="s">
        <v>25</v>
      </c>
      <c r="B42" s="64" t="s">
        <v>115</v>
      </c>
      <c r="C42" s="40">
        <f>'[3]Chi NSDP 2026 (PL 04)'!$J$61</f>
        <v>675045</v>
      </c>
      <c r="G42" s="59"/>
    </row>
    <row r="43" spans="1:7" s="60" customFormat="1" ht="31.5">
      <c r="A43" s="57" t="s">
        <v>26</v>
      </c>
      <c r="B43" s="389" t="s">
        <v>773</v>
      </c>
      <c r="C43" s="40">
        <v>120000</v>
      </c>
      <c r="G43" s="59"/>
    </row>
    <row r="44" spans="1:7" s="60" customFormat="1" ht="16.5">
      <c r="A44" s="57" t="s">
        <v>57</v>
      </c>
      <c r="B44" s="65" t="s">
        <v>238</v>
      </c>
      <c r="C44" s="40"/>
    </row>
    <row r="45" spans="1:7" ht="17.25" customHeight="1"/>
    <row r="46" spans="1:7" ht="17.25" customHeight="1"/>
    <row r="47" spans="1:7" ht="17.25" customHeight="1"/>
    <row r="48" spans="1:7" ht="17.25" customHeight="1"/>
  </sheetData>
  <mergeCells count="3">
    <mergeCell ref="A3:C3"/>
    <mergeCell ref="A4:C4"/>
    <mergeCell ref="A1:C1"/>
  </mergeCells>
  <phoneticPr fontId="5" type="noConversion"/>
  <pageMargins left="0.93" right="0.44" top="0.88" bottom="0.88" header="0.511811023622047" footer="0.23622047244094499"/>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97"/>
  <sheetViews>
    <sheetView workbookViewId="0">
      <pane xSplit="2" ySplit="8" topLeftCell="C9" activePane="bottomRight" state="frozen"/>
      <selection pane="topRight" activeCell="C1" sqref="C1"/>
      <selection pane="bottomLeft" activeCell="A11" sqref="A11"/>
      <selection pane="bottomRight" activeCell="F15" sqref="F15"/>
    </sheetView>
  </sheetViews>
  <sheetFormatPr defaultColWidth="9.140625" defaultRowHeight="12.75"/>
  <cols>
    <col min="1" max="1" width="4.5703125" style="513" customWidth="1"/>
    <col min="2" max="2" width="40.7109375" style="513" customWidth="1"/>
    <col min="3" max="3" width="10.7109375" style="513" customWidth="1"/>
    <col min="4" max="4" width="14" style="513" customWidth="1"/>
    <col min="5" max="6" width="14.7109375" style="513" customWidth="1"/>
    <col min="7" max="7" width="10.7109375" style="513" bestFit="1" customWidth="1"/>
    <col min="8" max="8" width="10.140625" style="513" customWidth="1"/>
    <col min="9" max="9" width="11.7109375" style="513" bestFit="1" customWidth="1"/>
    <col min="10" max="10" width="10.28515625" style="513" customWidth="1"/>
    <col min="11" max="11" width="9.5703125" style="513" customWidth="1"/>
    <col min="12" max="12" width="10.7109375" style="513" customWidth="1"/>
    <col min="13" max="13" width="11.5703125" style="513" customWidth="1"/>
    <col min="14" max="16384" width="9.140625" style="513"/>
  </cols>
  <sheetData>
    <row r="1" spans="1:13" ht="15.75">
      <c r="A1" s="730" t="s">
        <v>1629</v>
      </c>
      <c r="B1" s="730"/>
      <c r="C1" s="442"/>
      <c r="D1" s="442"/>
      <c r="E1" s="442"/>
      <c r="F1" s="442"/>
      <c r="G1" s="442"/>
      <c r="H1" s="442"/>
      <c r="I1" s="442"/>
      <c r="J1" s="731" t="s">
        <v>374</v>
      </c>
      <c r="K1" s="731"/>
      <c r="L1" s="731"/>
      <c r="M1" s="731"/>
    </row>
    <row r="2" spans="1:13">
      <c r="A2" s="447"/>
      <c r="B2" s="448"/>
      <c r="C2" s="442"/>
      <c r="D2" s="442"/>
      <c r="E2" s="442"/>
      <c r="F2" s="442"/>
      <c r="G2" s="442"/>
      <c r="H2" s="442"/>
      <c r="I2" s="442"/>
      <c r="J2" s="442"/>
      <c r="K2" s="442"/>
      <c r="L2" s="442"/>
      <c r="M2" s="442"/>
    </row>
    <row r="3" spans="1:13" ht="18">
      <c r="A3" s="732" t="s">
        <v>940</v>
      </c>
      <c r="B3" s="733"/>
      <c r="C3" s="733"/>
      <c r="D3" s="733"/>
      <c r="E3" s="733"/>
      <c r="F3" s="733"/>
      <c r="G3" s="733"/>
      <c r="H3" s="733"/>
      <c r="I3" s="733"/>
      <c r="J3" s="733"/>
      <c r="K3" s="733"/>
      <c r="L3" s="733"/>
      <c r="M3" s="733"/>
    </row>
    <row r="4" spans="1:13" ht="18.75">
      <c r="A4" s="734" t="s">
        <v>147</v>
      </c>
      <c r="B4" s="735"/>
      <c r="C4" s="735"/>
      <c r="D4" s="735"/>
      <c r="E4" s="735"/>
      <c r="F4" s="735"/>
      <c r="G4" s="735"/>
      <c r="H4" s="735"/>
      <c r="I4" s="735"/>
      <c r="J4" s="735"/>
      <c r="K4" s="735"/>
      <c r="L4" s="735"/>
      <c r="M4" s="735"/>
    </row>
    <row r="5" spans="1:13">
      <c r="A5" s="444"/>
      <c r="B5" s="445"/>
      <c r="C5" s="446"/>
      <c r="D5" s="446"/>
      <c r="E5" s="446"/>
      <c r="F5" s="446"/>
      <c r="G5" s="446"/>
      <c r="H5" s="446"/>
      <c r="I5" s="446"/>
      <c r="J5" s="446"/>
      <c r="K5" s="446"/>
      <c r="L5" s="446"/>
      <c r="M5" s="446"/>
    </row>
    <row r="6" spans="1:13" ht="15.75">
      <c r="A6" s="447"/>
      <c r="B6" s="448"/>
      <c r="C6" s="442"/>
      <c r="D6" s="442"/>
      <c r="E6" s="442"/>
      <c r="F6" s="442"/>
      <c r="G6" s="442"/>
      <c r="H6" s="442"/>
      <c r="I6" s="442"/>
      <c r="J6" s="736" t="s">
        <v>1</v>
      </c>
      <c r="K6" s="736"/>
      <c r="L6" s="736"/>
      <c r="M6" s="736"/>
    </row>
    <row r="7" spans="1:13">
      <c r="A7" s="729" t="s">
        <v>65</v>
      </c>
      <c r="B7" s="737" t="s">
        <v>107</v>
      </c>
      <c r="C7" s="729" t="s">
        <v>54</v>
      </c>
      <c r="D7" s="738" t="s">
        <v>361</v>
      </c>
      <c r="E7" s="729" t="s">
        <v>362</v>
      </c>
      <c r="F7" s="729" t="s">
        <v>181</v>
      </c>
      <c r="G7" s="729" t="s">
        <v>182</v>
      </c>
      <c r="H7" s="729" t="s">
        <v>183</v>
      </c>
      <c r="I7" s="729" t="s">
        <v>248</v>
      </c>
      <c r="J7" s="729" t="s">
        <v>363</v>
      </c>
      <c r="K7" s="729"/>
      <c r="L7" s="729"/>
      <c r="M7" s="729" t="s">
        <v>366</v>
      </c>
    </row>
    <row r="8" spans="1:13" ht="77.25" customHeight="1">
      <c r="A8" s="729"/>
      <c r="B8" s="737"/>
      <c r="C8" s="729"/>
      <c r="D8" s="738"/>
      <c r="E8" s="729"/>
      <c r="F8" s="729"/>
      <c r="G8" s="729"/>
      <c r="H8" s="729"/>
      <c r="I8" s="729"/>
      <c r="J8" s="451" t="s">
        <v>54</v>
      </c>
      <c r="K8" s="451" t="s">
        <v>364</v>
      </c>
      <c r="L8" s="451" t="s">
        <v>365</v>
      </c>
      <c r="M8" s="729"/>
    </row>
    <row r="9" spans="1:13" s="487" customFormat="1">
      <c r="A9" s="586" t="s">
        <v>55</v>
      </c>
      <c r="B9" s="587" t="s">
        <v>56</v>
      </c>
      <c r="C9" s="586">
        <v>1</v>
      </c>
      <c r="D9" s="586">
        <v>2</v>
      </c>
      <c r="E9" s="586">
        <v>3</v>
      </c>
      <c r="F9" s="586">
        <v>4</v>
      </c>
      <c r="G9" s="586">
        <v>5</v>
      </c>
      <c r="H9" s="586">
        <v>6</v>
      </c>
      <c r="I9" s="586">
        <v>7</v>
      </c>
      <c r="J9" s="586">
        <v>8</v>
      </c>
      <c r="K9" s="586">
        <v>9</v>
      </c>
      <c r="L9" s="586">
        <v>10</v>
      </c>
      <c r="M9" s="586">
        <v>11</v>
      </c>
    </row>
    <row r="10" spans="1:13" s="485" customFormat="1" ht="17.25" customHeight="1">
      <c r="A10" s="453"/>
      <c r="B10" s="454" t="s">
        <v>54</v>
      </c>
      <c r="C10" s="514">
        <f t="shared" ref="C10:M10" si="0">C11+SUM(C90:C95)</f>
        <v>23319773.070713267</v>
      </c>
      <c r="D10" s="514">
        <f t="shared" si="0"/>
        <v>8584334.4000000004</v>
      </c>
      <c r="E10" s="514">
        <f t="shared" si="0"/>
        <v>13457574.555209586</v>
      </c>
      <c r="F10" s="514">
        <f t="shared" si="0"/>
        <v>43200</v>
      </c>
      <c r="G10" s="514">
        <f t="shared" si="0"/>
        <v>2300</v>
      </c>
      <c r="H10" s="514">
        <f t="shared" si="0"/>
        <v>557319.11550368206</v>
      </c>
      <c r="I10" s="514">
        <f t="shared" si="0"/>
        <v>675045</v>
      </c>
      <c r="J10" s="514">
        <f t="shared" si="0"/>
        <v>0</v>
      </c>
      <c r="K10" s="514">
        <f t="shared" si="0"/>
        <v>0</v>
      </c>
      <c r="L10" s="514">
        <f t="shared" si="0"/>
        <v>0</v>
      </c>
      <c r="M10" s="514">
        <f t="shared" si="0"/>
        <v>0</v>
      </c>
    </row>
    <row r="11" spans="1:13" s="485" customFormat="1" ht="17.25" customHeight="1">
      <c r="A11" s="588" t="s">
        <v>97</v>
      </c>
      <c r="B11" s="589" t="s">
        <v>359</v>
      </c>
      <c r="C11" s="514">
        <f>SUM(D11:M11)</f>
        <v>20997418.555209585</v>
      </c>
      <c r="D11" s="514">
        <f>SUM(D12:D89)</f>
        <v>8573332.4000000004</v>
      </c>
      <c r="E11" s="514">
        <f>SUM(E12:E46)</f>
        <v>12424086.155209586</v>
      </c>
      <c r="F11" s="514">
        <f t="shared" ref="F11:I11" si="1">SUM(F12:F65)</f>
        <v>0</v>
      </c>
      <c r="G11" s="514">
        <f t="shared" si="1"/>
        <v>0</v>
      </c>
      <c r="H11" s="514">
        <f t="shared" si="1"/>
        <v>0</v>
      </c>
      <c r="I11" s="514">
        <f t="shared" si="1"/>
        <v>0</v>
      </c>
      <c r="J11" s="514">
        <f>K11+L11</f>
        <v>0</v>
      </c>
      <c r="K11" s="514">
        <f>'Bieu so 57'!D10</f>
        <v>0</v>
      </c>
      <c r="L11" s="514">
        <f>'Bieu so 57'!E10</f>
        <v>0</v>
      </c>
      <c r="M11" s="514">
        <f>SUM(M12:M65)</f>
        <v>0</v>
      </c>
    </row>
    <row r="12" spans="1:13" s="485" customFormat="1" ht="17.25" customHeight="1">
      <c r="A12" s="457">
        <v>1</v>
      </c>
      <c r="B12" s="461" t="s">
        <v>774</v>
      </c>
      <c r="C12" s="515">
        <f>SUM(D12:J12)+M12</f>
        <v>653747</v>
      </c>
      <c r="D12" s="515">
        <f>'Bieu so 52'!C17</f>
        <v>186000</v>
      </c>
      <c r="E12" s="515">
        <f>VLOOKUP(B12,'[3]Chi thường xuyên 2026 (PL 05)'!$B$12:$C$163,2,FALSE)</f>
        <v>467747</v>
      </c>
      <c r="F12" s="516"/>
      <c r="G12" s="516"/>
      <c r="H12" s="516"/>
      <c r="I12" s="516"/>
      <c r="J12" s="516"/>
      <c r="K12" s="516"/>
      <c r="L12" s="516"/>
      <c r="M12" s="516"/>
    </row>
    <row r="13" spans="1:13" s="485" customFormat="1" ht="17.25" customHeight="1">
      <c r="A13" s="457">
        <v>2</v>
      </c>
      <c r="B13" s="461" t="s">
        <v>775</v>
      </c>
      <c r="C13" s="515">
        <f t="shared" ref="C13:C65" si="2">SUM(D13:J13)+M13</f>
        <v>103379</v>
      </c>
      <c r="D13" s="515">
        <f>'Bieu so 52'!C19</f>
        <v>48900</v>
      </c>
      <c r="E13" s="515">
        <f>VLOOKUP(B13,'[3]Chi thường xuyên 2026 (PL 05)'!$B$12:$C$163,2,FALSE)</f>
        <v>54479</v>
      </c>
      <c r="F13" s="517"/>
      <c r="G13" s="517"/>
      <c r="H13" s="517"/>
      <c r="I13" s="517"/>
      <c r="J13" s="517"/>
      <c r="K13" s="517"/>
      <c r="L13" s="517"/>
      <c r="M13" s="517"/>
    </row>
    <row r="14" spans="1:13" s="485" customFormat="1" ht="28.5" customHeight="1">
      <c r="A14" s="457">
        <v>3</v>
      </c>
      <c r="B14" s="461" t="s">
        <v>776</v>
      </c>
      <c r="C14" s="515">
        <f t="shared" si="2"/>
        <v>1733932</v>
      </c>
      <c r="D14" s="515">
        <f>'Bieu so 52'!C16</f>
        <v>20000</v>
      </c>
      <c r="E14" s="515">
        <f>VLOOKUP(B14,'[3]Chi thường xuyên 2026 (PL 05)'!$B$12:$C$163,2,FALSE)</f>
        <v>1713932</v>
      </c>
      <c r="F14" s="517"/>
      <c r="G14" s="517"/>
      <c r="H14" s="517"/>
      <c r="I14" s="517"/>
      <c r="J14" s="517"/>
      <c r="K14" s="517"/>
      <c r="L14" s="517"/>
      <c r="M14" s="517"/>
    </row>
    <row r="15" spans="1:13" s="485" customFormat="1" ht="18" customHeight="1">
      <c r="A15" s="457">
        <v>4</v>
      </c>
      <c r="B15" s="461" t="s">
        <v>492</v>
      </c>
      <c r="C15" s="515">
        <f t="shared" si="2"/>
        <v>617523.22907999996</v>
      </c>
      <c r="D15" s="515">
        <f>'Bieu so 52'!C18</f>
        <v>57539</v>
      </c>
      <c r="E15" s="515">
        <f>VLOOKUP(B15,'[3]Chi thường xuyên 2026 (PL 05)'!$B$12:$C$163,2,FALSE)</f>
        <v>559984.22907999996</v>
      </c>
      <c r="F15" s="517"/>
      <c r="G15" s="517"/>
      <c r="H15" s="517"/>
      <c r="I15" s="517"/>
      <c r="J15" s="517"/>
      <c r="K15" s="517"/>
      <c r="L15" s="517"/>
      <c r="M15" s="517"/>
    </row>
    <row r="16" spans="1:13" s="485" customFormat="1" ht="18" customHeight="1">
      <c r="A16" s="457">
        <v>5</v>
      </c>
      <c r="B16" s="461" t="s">
        <v>777</v>
      </c>
      <c r="C16" s="515">
        <f t="shared" si="2"/>
        <v>204657.06320000003</v>
      </c>
      <c r="D16" s="515"/>
      <c r="E16" s="515">
        <f>VLOOKUP(B16,'[3]Chi thường xuyên 2026 (PL 05)'!$B$12:$C$163,2,FALSE)</f>
        <v>204657.06320000003</v>
      </c>
      <c r="F16" s="517"/>
      <c r="G16" s="517"/>
      <c r="H16" s="517"/>
      <c r="I16" s="517"/>
      <c r="J16" s="517"/>
      <c r="K16" s="517"/>
      <c r="L16" s="517"/>
      <c r="M16" s="517"/>
    </row>
    <row r="17" spans="1:13" s="485" customFormat="1" ht="18" customHeight="1">
      <c r="A17" s="457">
        <v>6</v>
      </c>
      <c r="B17" s="461" t="s">
        <v>778</v>
      </c>
      <c r="C17" s="515">
        <f t="shared" si="2"/>
        <v>200799.73452676</v>
      </c>
      <c r="D17" s="515">
        <f>'Bieu so 52'!C24</f>
        <v>3500</v>
      </c>
      <c r="E17" s="515">
        <f>VLOOKUP(B17,'[3]Chi thường xuyên 2026 (PL 05)'!$B$12:$C$163,2,FALSE)</f>
        <v>197299.73452676</v>
      </c>
      <c r="F17" s="517"/>
      <c r="G17" s="517"/>
      <c r="H17" s="517"/>
      <c r="I17" s="517"/>
      <c r="J17" s="517"/>
      <c r="K17" s="517"/>
      <c r="L17" s="517"/>
      <c r="M17" s="517"/>
    </row>
    <row r="18" spans="1:13" s="485" customFormat="1" ht="18" customHeight="1">
      <c r="A18" s="457">
        <v>7</v>
      </c>
      <c r="B18" s="461" t="s">
        <v>51</v>
      </c>
      <c r="C18" s="515">
        <f t="shared" si="2"/>
        <v>123493.82980799999</v>
      </c>
      <c r="D18" s="515">
        <f>'Bieu so 52'!C21</f>
        <v>1100</v>
      </c>
      <c r="E18" s="515">
        <f>VLOOKUP(B18,'[3]Chi thường xuyên 2026 (PL 05)'!$B$12:$C$163,2,FALSE)</f>
        <v>122393.82980799999</v>
      </c>
      <c r="F18" s="517"/>
      <c r="G18" s="517"/>
      <c r="H18" s="517"/>
      <c r="I18" s="517"/>
      <c r="J18" s="517"/>
      <c r="K18" s="517"/>
      <c r="L18" s="517"/>
      <c r="M18" s="517"/>
    </row>
    <row r="19" spans="1:13" s="485" customFormat="1" ht="18" customHeight="1">
      <c r="A19" s="457">
        <v>8</v>
      </c>
      <c r="B19" s="461" t="s">
        <v>779</v>
      </c>
      <c r="C19" s="515">
        <f t="shared" si="2"/>
        <v>29098.335187999997</v>
      </c>
      <c r="D19" s="515"/>
      <c r="E19" s="515">
        <f>VLOOKUP(B19,'[3]Chi thường xuyên 2026 (PL 05)'!$B$12:$C$163,2,FALSE)</f>
        <v>29098.335187999997</v>
      </c>
      <c r="F19" s="517"/>
      <c r="G19" s="517"/>
      <c r="H19" s="517"/>
      <c r="I19" s="517"/>
      <c r="J19" s="517"/>
      <c r="K19" s="517"/>
      <c r="L19" s="517"/>
      <c r="M19" s="517"/>
    </row>
    <row r="20" spans="1:13" s="485" customFormat="1" ht="18" customHeight="1">
      <c r="A20" s="457">
        <v>9</v>
      </c>
      <c r="B20" s="461" t="s">
        <v>780</v>
      </c>
      <c r="C20" s="515">
        <f t="shared" si="2"/>
        <v>41410</v>
      </c>
      <c r="D20" s="515"/>
      <c r="E20" s="515">
        <f>VLOOKUP(B20,'[3]Chi thường xuyên 2026 (PL 05)'!$B$12:$C$163,2,FALSE)</f>
        <v>41410</v>
      </c>
      <c r="F20" s="517"/>
      <c r="G20" s="517"/>
      <c r="H20" s="517"/>
      <c r="I20" s="517"/>
      <c r="J20" s="517"/>
      <c r="K20" s="517"/>
      <c r="L20" s="517"/>
      <c r="M20" s="517"/>
    </row>
    <row r="21" spans="1:13" s="485" customFormat="1" ht="18" customHeight="1">
      <c r="A21" s="457">
        <v>10</v>
      </c>
      <c r="B21" s="461" t="s">
        <v>781</v>
      </c>
      <c r="C21" s="515">
        <f t="shared" si="2"/>
        <v>110626.5280528</v>
      </c>
      <c r="D21" s="515">
        <f>'Bieu so 52'!C22</f>
        <v>10000</v>
      </c>
      <c r="E21" s="515">
        <f>VLOOKUP(B21,'[3]Chi thường xuyên 2026 (PL 05)'!$B$12:$C$163,2,FALSE)</f>
        <v>100626.5280528</v>
      </c>
      <c r="F21" s="517"/>
      <c r="G21" s="517"/>
      <c r="H21" s="517"/>
      <c r="I21" s="517"/>
      <c r="J21" s="517"/>
      <c r="K21" s="517"/>
      <c r="L21" s="517"/>
      <c r="M21" s="517"/>
    </row>
    <row r="22" spans="1:13" s="485" customFormat="1" ht="18" customHeight="1">
      <c r="A22" s="457">
        <v>11</v>
      </c>
      <c r="B22" s="461" t="s">
        <v>95</v>
      </c>
      <c r="C22" s="515">
        <f t="shared" si="2"/>
        <v>896065.95901390503</v>
      </c>
      <c r="D22" s="515"/>
      <c r="E22" s="515">
        <f>VLOOKUP(B22,'[3]Chi thường xuyên 2026 (PL 05)'!$B$12:$C$163,2,FALSE)</f>
        <v>896065.95901390503</v>
      </c>
      <c r="F22" s="517"/>
      <c r="G22" s="517"/>
      <c r="H22" s="517"/>
      <c r="I22" s="517"/>
      <c r="J22" s="517"/>
      <c r="K22" s="517"/>
      <c r="L22" s="517"/>
      <c r="M22" s="517"/>
    </row>
    <row r="23" spans="1:13" s="485" customFormat="1" ht="18" customHeight="1">
      <c r="A23" s="457">
        <v>12</v>
      </c>
      <c r="B23" s="461" t="s">
        <v>782</v>
      </c>
      <c r="C23" s="515">
        <f t="shared" si="2"/>
        <v>35696.202996</v>
      </c>
      <c r="D23" s="515"/>
      <c r="E23" s="515">
        <f>VLOOKUP(B23,'[3]Chi thường xuyên 2026 (PL 05)'!$B$12:$C$163,2,FALSE)</f>
        <v>35696.202996</v>
      </c>
      <c r="F23" s="517"/>
      <c r="G23" s="517"/>
      <c r="H23" s="517"/>
      <c r="I23" s="517"/>
      <c r="J23" s="517"/>
      <c r="K23" s="517"/>
      <c r="L23" s="517"/>
      <c r="M23" s="517"/>
    </row>
    <row r="24" spans="1:13" s="485" customFormat="1" ht="18" customHeight="1">
      <c r="A24" s="457">
        <v>13</v>
      </c>
      <c r="B24" s="461" t="s">
        <v>783</v>
      </c>
      <c r="C24" s="515">
        <f t="shared" si="2"/>
        <v>223981.58183816</v>
      </c>
      <c r="D24" s="515">
        <f>'Bieu so 52'!C32</f>
        <v>215000</v>
      </c>
      <c r="E24" s="515">
        <f>VLOOKUP(B24,'[3]Chi thường xuyên 2026 (PL 05)'!$B$12:$C$163,2,FALSE)</f>
        <v>8981.5818381600002</v>
      </c>
      <c r="F24" s="517"/>
      <c r="G24" s="517"/>
      <c r="H24" s="517"/>
      <c r="I24" s="517"/>
      <c r="J24" s="517">
        <f>K24+L24</f>
        <v>0</v>
      </c>
      <c r="K24" s="516"/>
      <c r="L24" s="517"/>
      <c r="M24" s="517"/>
    </row>
    <row r="25" spans="1:13" s="485" customFormat="1" ht="18" customHeight="1">
      <c r="A25" s="457">
        <v>14</v>
      </c>
      <c r="B25" s="461" t="s">
        <v>784</v>
      </c>
      <c r="C25" s="515">
        <f t="shared" si="2"/>
        <v>20420.211087199998</v>
      </c>
      <c r="D25" s="515"/>
      <c r="E25" s="515">
        <f>VLOOKUP(B25,'[3]Chi thường xuyên 2026 (PL 05)'!$B$12:$C$163,2,FALSE)</f>
        <v>20420.211087199998</v>
      </c>
      <c r="F25" s="517"/>
      <c r="G25" s="517"/>
      <c r="H25" s="517"/>
      <c r="I25" s="517"/>
      <c r="J25" s="517"/>
      <c r="K25" s="517"/>
      <c r="L25" s="517"/>
      <c r="M25" s="517"/>
    </row>
    <row r="26" spans="1:13" s="485" customFormat="1" ht="18" customHeight="1">
      <c r="A26" s="457">
        <v>15</v>
      </c>
      <c r="B26" s="461" t="s">
        <v>785</v>
      </c>
      <c r="C26" s="515">
        <f t="shared" si="2"/>
        <v>32682.613604000002</v>
      </c>
      <c r="D26" s="515"/>
      <c r="E26" s="515">
        <f>VLOOKUP(B26,'[3]Chi thường xuyên 2026 (PL 05)'!$B$12:$C$163,2,FALSE)</f>
        <v>32682.613604000002</v>
      </c>
      <c r="F26" s="517"/>
      <c r="G26" s="517"/>
      <c r="H26" s="517"/>
      <c r="I26" s="517"/>
      <c r="J26" s="517"/>
      <c r="K26" s="517"/>
      <c r="L26" s="517"/>
      <c r="M26" s="517"/>
    </row>
    <row r="27" spans="1:13" s="485" customFormat="1" ht="18" customHeight="1">
      <c r="A27" s="457">
        <v>16</v>
      </c>
      <c r="B27" s="461" t="s">
        <v>786</v>
      </c>
      <c r="C27" s="515">
        <f t="shared" si="2"/>
        <v>11265.194943999999</v>
      </c>
      <c r="D27" s="515"/>
      <c r="E27" s="515">
        <f>VLOOKUP(B27,'[3]Chi thường xuyên 2026 (PL 05)'!$B$12:$C$163,2,FALSE)</f>
        <v>11265.194943999999</v>
      </c>
      <c r="F27" s="517"/>
      <c r="G27" s="517"/>
      <c r="H27" s="517"/>
      <c r="I27" s="517"/>
      <c r="J27" s="517"/>
      <c r="K27" s="517"/>
      <c r="L27" s="517"/>
      <c r="M27" s="517"/>
    </row>
    <row r="28" spans="1:13" s="485" customFormat="1" ht="18" customHeight="1">
      <c r="A28" s="457">
        <v>17</v>
      </c>
      <c r="B28" s="461" t="s">
        <v>787</v>
      </c>
      <c r="C28" s="515">
        <f t="shared" si="2"/>
        <v>57899.196559999997</v>
      </c>
      <c r="D28" s="515"/>
      <c r="E28" s="515">
        <f>VLOOKUP(B28,'[3]Chi thường xuyên 2026 (PL 05)'!$B$12:$C$163,2,FALSE)</f>
        <v>57899.196559999997</v>
      </c>
      <c r="F28" s="517"/>
      <c r="G28" s="517"/>
      <c r="H28" s="517"/>
      <c r="I28" s="517"/>
      <c r="J28" s="517"/>
      <c r="K28" s="517"/>
      <c r="L28" s="517"/>
      <c r="M28" s="517"/>
    </row>
    <row r="29" spans="1:13" s="485" customFormat="1" ht="18" customHeight="1">
      <c r="A29" s="457">
        <v>18</v>
      </c>
      <c r="B29" s="461" t="s">
        <v>788</v>
      </c>
      <c r="C29" s="515">
        <f t="shared" si="2"/>
        <v>422182.254125376</v>
      </c>
      <c r="D29" s="515"/>
      <c r="E29" s="515">
        <f>VLOOKUP(B29,'[3]Chi thường xuyên 2026 (PL 05)'!$B$12:$C$163,2,FALSE)</f>
        <v>422182.254125376</v>
      </c>
      <c r="F29" s="517"/>
      <c r="G29" s="517"/>
      <c r="H29" s="517"/>
      <c r="I29" s="517"/>
      <c r="J29" s="517"/>
      <c r="K29" s="517"/>
      <c r="L29" s="517"/>
      <c r="M29" s="517"/>
    </row>
    <row r="30" spans="1:13" s="485" customFormat="1" ht="18" customHeight="1">
      <c r="A30" s="457">
        <v>19</v>
      </c>
      <c r="B30" s="461" t="s">
        <v>789</v>
      </c>
      <c r="C30" s="515">
        <f t="shared" si="2"/>
        <v>135748.44763840002</v>
      </c>
      <c r="D30" s="515">
        <f>'Bieu so 52'!C20</f>
        <v>6571</v>
      </c>
      <c r="E30" s="515">
        <f>VLOOKUP(B30,'[3]Chi thường xuyên 2026 (PL 05)'!$B$12:$C$163,2,FALSE)</f>
        <v>129177.4476384</v>
      </c>
      <c r="F30" s="517"/>
      <c r="G30" s="517"/>
      <c r="H30" s="517"/>
      <c r="I30" s="517"/>
      <c r="J30" s="517"/>
      <c r="K30" s="517"/>
      <c r="L30" s="517"/>
      <c r="M30" s="517"/>
    </row>
    <row r="31" spans="1:13" s="485" customFormat="1" ht="18" customHeight="1">
      <c r="A31" s="457">
        <v>20</v>
      </c>
      <c r="B31" s="461" t="s">
        <v>790</v>
      </c>
      <c r="C31" s="515">
        <f t="shared" si="2"/>
        <v>69339.775280000002</v>
      </c>
      <c r="D31" s="515"/>
      <c r="E31" s="515">
        <f>VLOOKUP(B31,'[3]Chi thường xuyên 2026 (PL 05)'!$B$12:$C$163,2,FALSE)</f>
        <v>69339.775280000002</v>
      </c>
      <c r="F31" s="517"/>
      <c r="G31" s="517"/>
      <c r="H31" s="517"/>
      <c r="I31" s="517"/>
      <c r="J31" s="517"/>
      <c r="K31" s="517"/>
      <c r="L31" s="517"/>
      <c r="M31" s="517"/>
    </row>
    <row r="32" spans="1:13" s="485" customFormat="1" ht="18" customHeight="1">
      <c r="A32" s="457">
        <v>21</v>
      </c>
      <c r="B32" s="461" t="s">
        <v>791</v>
      </c>
      <c r="C32" s="515">
        <f t="shared" si="2"/>
        <v>134517.39651600001</v>
      </c>
      <c r="D32" s="515"/>
      <c r="E32" s="515">
        <f>VLOOKUP(B32,'[3]Chi thường xuyên 2026 (PL 05)'!$B$12:$C$163,2,FALSE)</f>
        <v>134517.39651600001</v>
      </c>
      <c r="F32" s="517"/>
      <c r="G32" s="517"/>
      <c r="H32" s="517"/>
      <c r="I32" s="517"/>
      <c r="J32" s="517"/>
      <c r="K32" s="517"/>
      <c r="L32" s="517"/>
      <c r="M32" s="517"/>
    </row>
    <row r="33" spans="1:13" s="485" customFormat="1" ht="18" customHeight="1">
      <c r="A33" s="457">
        <v>22</v>
      </c>
      <c r="B33" s="461" t="s">
        <v>792</v>
      </c>
      <c r="C33" s="515">
        <f t="shared" si="2"/>
        <v>39044</v>
      </c>
      <c r="D33" s="515"/>
      <c r="E33" s="515">
        <f>VLOOKUP(B33,'[3]Chi thường xuyên 2026 (PL 05)'!$B$12:$C$163,2,FALSE)</f>
        <v>39044</v>
      </c>
      <c r="F33" s="516"/>
      <c r="G33" s="516"/>
      <c r="H33" s="516"/>
      <c r="I33" s="516"/>
      <c r="J33" s="516"/>
      <c r="K33" s="516"/>
      <c r="L33" s="516"/>
      <c r="M33" s="516"/>
    </row>
    <row r="34" spans="1:13" s="485" customFormat="1" ht="18" customHeight="1">
      <c r="A34" s="457">
        <v>23</v>
      </c>
      <c r="B34" s="461" t="s">
        <v>793</v>
      </c>
      <c r="C34" s="515">
        <f t="shared" si="2"/>
        <v>93001.701750985609</v>
      </c>
      <c r="D34" s="515"/>
      <c r="E34" s="515">
        <f>VLOOKUP(B34,'[3]Chi thường xuyên 2026 (PL 05)'!$B$12:$C$163,2,FALSE)</f>
        <v>93001.701750985609</v>
      </c>
      <c r="F34" s="517"/>
      <c r="G34" s="517"/>
      <c r="H34" s="517"/>
      <c r="I34" s="517"/>
      <c r="J34" s="517"/>
      <c r="K34" s="517"/>
      <c r="L34" s="517"/>
      <c r="M34" s="517"/>
    </row>
    <row r="35" spans="1:13" s="485" customFormat="1" ht="18" customHeight="1">
      <c r="A35" s="457">
        <v>24</v>
      </c>
      <c r="B35" s="461" t="s">
        <v>794</v>
      </c>
      <c r="C35" s="515">
        <f t="shared" si="2"/>
        <v>159045</v>
      </c>
      <c r="D35" s="515"/>
      <c r="E35" s="515">
        <f>VLOOKUP(B35,'[3]Chi thường xuyên 2026 (PL 05)'!$B$12:$C$163,2,FALSE)</f>
        <v>159045</v>
      </c>
      <c r="F35" s="517"/>
      <c r="G35" s="517"/>
      <c r="H35" s="517"/>
      <c r="I35" s="517"/>
      <c r="J35" s="517"/>
      <c r="K35" s="517"/>
      <c r="L35" s="517"/>
      <c r="M35" s="517"/>
    </row>
    <row r="36" spans="1:13" s="485" customFormat="1" ht="18" customHeight="1">
      <c r="A36" s="457">
        <v>25</v>
      </c>
      <c r="B36" s="461" t="s">
        <v>795</v>
      </c>
      <c r="C36" s="515">
        <f t="shared" si="2"/>
        <v>762</v>
      </c>
      <c r="D36" s="515"/>
      <c r="E36" s="515">
        <f>VLOOKUP(B36,'[3]Chi thường xuyên 2026 (PL 05)'!$B$12:$C$163,2,FALSE)</f>
        <v>762</v>
      </c>
      <c r="F36" s="517"/>
      <c r="G36" s="517"/>
      <c r="H36" s="517"/>
      <c r="I36" s="517"/>
      <c r="J36" s="517"/>
      <c r="K36" s="517"/>
      <c r="L36" s="517"/>
      <c r="M36" s="517"/>
    </row>
    <row r="37" spans="1:13" s="485" customFormat="1" ht="18" customHeight="1">
      <c r="A37" s="457">
        <v>26</v>
      </c>
      <c r="B37" s="461" t="s">
        <v>796</v>
      </c>
      <c r="C37" s="515">
        <f t="shared" si="2"/>
        <v>824174</v>
      </c>
      <c r="D37" s="515">
        <f>'Bieu so 52'!C9</f>
        <v>40500</v>
      </c>
      <c r="E37" s="515">
        <f>VLOOKUP(B37,'[3]Chi thường xuyên 2026 (PL 05)'!$B$12:$C$163,2,FALSE)</f>
        <v>783674</v>
      </c>
      <c r="F37" s="517"/>
      <c r="G37" s="517"/>
      <c r="H37" s="517"/>
      <c r="I37" s="517"/>
      <c r="J37" s="517"/>
      <c r="K37" s="517"/>
      <c r="L37" s="517"/>
      <c r="M37" s="517"/>
    </row>
    <row r="38" spans="1:13" s="485" customFormat="1" ht="18" customHeight="1">
      <c r="A38" s="457">
        <v>27</v>
      </c>
      <c r="B38" s="461" t="s">
        <v>797</v>
      </c>
      <c r="C38" s="515">
        <f t="shared" si="2"/>
        <v>55569</v>
      </c>
      <c r="D38" s="515">
        <f>'Bieu so 52'!C10</f>
        <v>10300</v>
      </c>
      <c r="E38" s="515">
        <f>VLOOKUP(B38,'[3]Chi thường xuyên 2026 (PL 05)'!$B$12:$C$163,2,FALSE)</f>
        <v>45269</v>
      </c>
      <c r="F38" s="517"/>
      <c r="G38" s="517"/>
      <c r="H38" s="517"/>
      <c r="I38" s="517"/>
      <c r="J38" s="517"/>
      <c r="K38" s="517"/>
      <c r="L38" s="517"/>
      <c r="M38" s="517"/>
    </row>
    <row r="39" spans="1:13" s="485" customFormat="1" ht="18" customHeight="1">
      <c r="A39" s="457">
        <v>28</v>
      </c>
      <c r="B39" s="461" t="s">
        <v>253</v>
      </c>
      <c r="C39" s="515">
        <f t="shared" si="2"/>
        <v>84700</v>
      </c>
      <c r="D39" s="515">
        <f>'Bieu so 52'!C11</f>
        <v>5000</v>
      </c>
      <c r="E39" s="515">
        <f>VLOOKUP(B39,'[3]Chi thường xuyên 2026 (PL 05)'!$B$12:$C$163,2,FALSE)</f>
        <v>79700</v>
      </c>
      <c r="F39" s="517"/>
      <c r="G39" s="517"/>
      <c r="H39" s="517"/>
      <c r="I39" s="517"/>
      <c r="J39" s="517"/>
      <c r="K39" s="517"/>
      <c r="L39" s="517"/>
      <c r="M39" s="517"/>
    </row>
    <row r="40" spans="1:13" s="485" customFormat="1" ht="18" customHeight="1">
      <c r="A40" s="457">
        <v>29</v>
      </c>
      <c r="B40" s="461" t="s">
        <v>184</v>
      </c>
      <c r="C40" s="515">
        <f t="shared" si="2"/>
        <v>700</v>
      </c>
      <c r="D40" s="515"/>
      <c r="E40" s="515">
        <f>VLOOKUP(B40,'[3]Chi thường xuyên 2026 (PL 05)'!$B$12:$C$163,2,FALSE)</f>
        <v>700</v>
      </c>
      <c r="F40" s="517"/>
      <c r="G40" s="517"/>
      <c r="H40" s="517"/>
      <c r="I40" s="517"/>
      <c r="J40" s="517"/>
      <c r="K40" s="517"/>
      <c r="L40" s="517"/>
      <c r="M40" s="517"/>
    </row>
    <row r="41" spans="1:13" s="485" customFormat="1" ht="18" customHeight="1">
      <c r="A41" s="457">
        <v>30</v>
      </c>
      <c r="B41" s="461" t="s">
        <v>798</v>
      </c>
      <c r="C41" s="515">
        <f t="shared" si="2"/>
        <v>2914</v>
      </c>
      <c r="D41" s="515">
        <f>'Bieu so 52'!C28</f>
        <v>1914</v>
      </c>
      <c r="E41" s="515">
        <f>VLOOKUP(B41,'[3]Chi thường xuyên 2026 (PL 05)'!$B$12:$C$163,2,FALSE)</f>
        <v>1000</v>
      </c>
      <c r="F41" s="517"/>
      <c r="G41" s="517"/>
      <c r="H41" s="517"/>
      <c r="I41" s="517"/>
      <c r="J41" s="517"/>
      <c r="K41" s="517"/>
      <c r="L41" s="517"/>
      <c r="M41" s="517"/>
    </row>
    <row r="42" spans="1:13" s="485" customFormat="1" ht="18" customHeight="1">
      <c r="A42" s="457">
        <v>31</v>
      </c>
      <c r="B42" s="461" t="s">
        <v>799</v>
      </c>
      <c r="C42" s="515">
        <f t="shared" si="2"/>
        <v>912</v>
      </c>
      <c r="D42" s="515"/>
      <c r="E42" s="515">
        <f>VLOOKUP(B42,'[3]Chi thường xuyên 2026 (PL 05)'!$B$12:$C$163,2,FALSE)</f>
        <v>912</v>
      </c>
      <c r="F42" s="517"/>
      <c r="G42" s="517"/>
      <c r="H42" s="517"/>
      <c r="I42" s="517"/>
      <c r="J42" s="517"/>
      <c r="K42" s="517"/>
      <c r="L42" s="517"/>
      <c r="M42" s="517"/>
    </row>
    <row r="43" spans="1:13" s="485" customFormat="1" ht="18" customHeight="1">
      <c r="A43" s="457">
        <v>32</v>
      </c>
      <c r="B43" s="461" t="s">
        <v>800</v>
      </c>
      <c r="C43" s="515">
        <f t="shared" si="2"/>
        <v>800</v>
      </c>
      <c r="D43" s="515"/>
      <c r="E43" s="515">
        <f>VLOOKUP(B43,'[3]Chi thường xuyên 2026 (PL 05)'!$B$12:$C$163,2,FALSE)</f>
        <v>800</v>
      </c>
      <c r="F43" s="517"/>
      <c r="G43" s="517"/>
      <c r="H43" s="517"/>
      <c r="I43" s="517"/>
      <c r="J43" s="517"/>
      <c r="K43" s="517"/>
      <c r="L43" s="517"/>
      <c r="M43" s="517"/>
    </row>
    <row r="44" spans="1:13" s="485" customFormat="1" ht="18" customHeight="1">
      <c r="A44" s="457">
        <v>33</v>
      </c>
      <c r="B44" s="461" t="s">
        <v>801</v>
      </c>
      <c r="C44" s="515">
        <f t="shared" si="2"/>
        <v>1886</v>
      </c>
      <c r="D44" s="515"/>
      <c r="E44" s="515">
        <f>VLOOKUP(B44,'[3]Chi thường xuyên 2026 (PL 05)'!$B$12:$C$163,2,FALSE)</f>
        <v>1886</v>
      </c>
      <c r="F44" s="516"/>
      <c r="G44" s="516"/>
      <c r="H44" s="516"/>
      <c r="I44" s="516"/>
      <c r="J44" s="516"/>
      <c r="K44" s="516"/>
      <c r="L44" s="516"/>
      <c r="M44" s="516"/>
    </row>
    <row r="45" spans="1:13" s="485" customFormat="1" ht="18" customHeight="1">
      <c r="A45" s="457">
        <v>34</v>
      </c>
      <c r="B45" s="461" t="s">
        <v>802</v>
      </c>
      <c r="C45" s="515">
        <f t="shared" si="2"/>
        <v>1000</v>
      </c>
      <c r="D45" s="515"/>
      <c r="E45" s="515">
        <f>VLOOKUP(B45,'[3]Chi thường xuyên 2026 (PL 05)'!$B$12:$C$163,2,FALSE)</f>
        <v>1000</v>
      </c>
      <c r="F45" s="517"/>
      <c r="G45" s="517"/>
      <c r="H45" s="517"/>
      <c r="I45" s="517"/>
      <c r="J45" s="517"/>
      <c r="K45" s="517"/>
      <c r="L45" s="517"/>
      <c r="M45" s="517"/>
    </row>
    <row r="46" spans="1:13" s="485" customFormat="1" ht="18" customHeight="1">
      <c r="A46" s="457">
        <v>35</v>
      </c>
      <c r="B46" s="461" t="s">
        <v>81</v>
      </c>
      <c r="C46" s="515">
        <f t="shared" si="2"/>
        <v>5907436.9000000004</v>
      </c>
      <c r="D46" s="515"/>
      <c r="E46" s="515">
        <f>VLOOKUP(B46,'[3]Chi thường xuyên 2026 (PL 05)'!$B$12:$C$163,2,FALSE)</f>
        <v>5907436.9000000004</v>
      </c>
      <c r="F46" s="517"/>
      <c r="G46" s="517"/>
      <c r="H46" s="517"/>
      <c r="I46" s="517"/>
      <c r="J46" s="517"/>
      <c r="K46" s="517"/>
      <c r="L46" s="517"/>
      <c r="M46" s="517"/>
    </row>
    <row r="47" spans="1:13" s="485" customFormat="1" ht="18" customHeight="1">
      <c r="A47" s="457">
        <v>36</v>
      </c>
      <c r="B47" s="461" t="s">
        <v>108</v>
      </c>
      <c r="C47" s="515">
        <f t="shared" si="2"/>
        <v>3714.4136120000003</v>
      </c>
      <c r="D47" s="515"/>
      <c r="E47" s="515">
        <f>'[4]Chi thường xuyên 2025 (PL 06)'!$C$272</f>
        <v>3714.4136120000003</v>
      </c>
      <c r="F47" s="517"/>
      <c r="G47" s="517"/>
      <c r="H47" s="517"/>
      <c r="I47" s="517"/>
      <c r="J47" s="517"/>
      <c r="K47" s="517"/>
      <c r="L47" s="517"/>
      <c r="M47" s="517"/>
    </row>
    <row r="48" spans="1:13" s="485" customFormat="1" ht="18" customHeight="1">
      <c r="A48" s="457">
        <v>37</v>
      </c>
      <c r="B48" s="461" t="s">
        <v>52</v>
      </c>
      <c r="C48" s="515">
        <f t="shared" si="2"/>
        <v>2968.8746799999999</v>
      </c>
      <c r="D48" s="515"/>
      <c r="E48" s="515">
        <f>VLOOKUP(B48,'[4]Chi thường xuyên 2025 (PL 06)'!$B$12:$C$335,2,FALSE)</f>
        <v>2968.8746799999999</v>
      </c>
      <c r="F48" s="517"/>
      <c r="G48" s="517"/>
      <c r="H48" s="517"/>
      <c r="I48" s="517"/>
      <c r="J48" s="517"/>
      <c r="K48" s="517"/>
      <c r="L48" s="517"/>
      <c r="M48" s="517"/>
    </row>
    <row r="49" spans="1:13" s="485" customFormat="1" ht="18" customHeight="1">
      <c r="A49" s="457">
        <v>38</v>
      </c>
      <c r="B49" s="461" t="s">
        <v>18</v>
      </c>
      <c r="C49" s="515">
        <f t="shared" si="2"/>
        <v>1593.495868</v>
      </c>
      <c r="D49" s="515"/>
      <c r="E49" s="515">
        <f>VLOOKUP(B49,'[4]Chi thường xuyên 2025 (PL 06)'!$B$12:$C$335,2,FALSE)</f>
        <v>1593.495868</v>
      </c>
      <c r="F49" s="517"/>
      <c r="G49" s="517"/>
      <c r="H49" s="517"/>
      <c r="I49" s="517"/>
      <c r="J49" s="517"/>
      <c r="K49" s="517"/>
      <c r="L49" s="517"/>
      <c r="M49" s="517"/>
    </row>
    <row r="50" spans="1:13" s="485" customFormat="1" ht="18" customHeight="1">
      <c r="A50" s="457">
        <v>39</v>
      </c>
      <c r="B50" s="461" t="s">
        <v>7</v>
      </c>
      <c r="C50" s="515">
        <f t="shared" si="2"/>
        <v>537.04</v>
      </c>
      <c r="D50" s="515"/>
      <c r="E50" s="515">
        <f>VLOOKUP(B50,'[4]Chi thường xuyên 2025 (PL 06)'!$B$12:$C$335,2,FALSE)</f>
        <v>537.04</v>
      </c>
      <c r="F50" s="517"/>
      <c r="G50" s="517"/>
      <c r="H50" s="517"/>
      <c r="I50" s="517"/>
      <c r="J50" s="517"/>
      <c r="K50" s="517"/>
      <c r="L50" s="517"/>
      <c r="M50" s="517"/>
    </row>
    <row r="51" spans="1:13" s="485" customFormat="1" ht="18" customHeight="1">
      <c r="A51" s="457">
        <v>40</v>
      </c>
      <c r="B51" s="461" t="s">
        <v>83</v>
      </c>
      <c r="C51" s="515">
        <f t="shared" si="2"/>
        <v>761.96129199999996</v>
      </c>
      <c r="D51" s="515"/>
      <c r="E51" s="515">
        <f>VLOOKUP(B51,'[4]Chi thường xuyên 2025 (PL 06)'!$B$12:$C$335,2,FALSE)</f>
        <v>761.96129199999996</v>
      </c>
      <c r="F51" s="517"/>
      <c r="G51" s="517"/>
      <c r="H51" s="517"/>
      <c r="I51" s="517"/>
      <c r="J51" s="517"/>
      <c r="K51" s="517"/>
      <c r="L51" s="517"/>
      <c r="M51" s="517"/>
    </row>
    <row r="52" spans="1:13" s="485" customFormat="1" ht="18" customHeight="1">
      <c r="A52" s="457">
        <v>41</v>
      </c>
      <c r="B52" s="461" t="s">
        <v>19</v>
      </c>
      <c r="C52" s="515">
        <f t="shared" si="2"/>
        <v>664.69239200000004</v>
      </c>
      <c r="D52" s="515"/>
      <c r="E52" s="515">
        <f>'[4]Chi thường xuyên 2025 (PL 06)'!$C$277</f>
        <v>664.69239200000004</v>
      </c>
      <c r="F52" s="517"/>
      <c r="G52" s="517"/>
      <c r="H52" s="517"/>
      <c r="I52" s="517"/>
      <c r="J52" s="517"/>
      <c r="K52" s="517"/>
      <c r="L52" s="517"/>
      <c r="M52" s="517"/>
    </row>
    <row r="53" spans="1:13" s="485" customFormat="1" ht="18" customHeight="1">
      <c r="A53" s="457">
        <v>42</v>
      </c>
      <c r="B53" s="461" t="s">
        <v>21</v>
      </c>
      <c r="C53" s="515">
        <f t="shared" si="2"/>
        <v>500</v>
      </c>
      <c r="D53" s="515"/>
      <c r="E53" s="515">
        <f>VLOOKUP(B53,'[4]Chi thường xuyên 2025 (PL 06)'!$B$12:$C$335,2,FALSE)</f>
        <v>500</v>
      </c>
      <c r="F53" s="517"/>
      <c r="G53" s="517"/>
      <c r="H53" s="517"/>
      <c r="I53" s="517"/>
      <c r="J53" s="517"/>
      <c r="K53" s="517"/>
      <c r="L53" s="517"/>
      <c r="M53" s="517"/>
    </row>
    <row r="54" spans="1:13" s="485" customFormat="1" ht="18" customHeight="1">
      <c r="A54" s="457">
        <v>43</v>
      </c>
      <c r="B54" s="461" t="s">
        <v>63</v>
      </c>
      <c r="C54" s="515">
        <f t="shared" si="2"/>
        <v>457.42004399999996</v>
      </c>
      <c r="D54" s="515"/>
      <c r="E54" s="515">
        <f>VLOOKUP(B54,'[4]Chi thường xuyên 2025 (PL 06)'!$B$12:$C$335,2,FALSE)</f>
        <v>457.42004399999996</v>
      </c>
      <c r="F54" s="517"/>
      <c r="G54" s="517"/>
      <c r="H54" s="517"/>
      <c r="I54" s="517"/>
      <c r="J54" s="517"/>
      <c r="K54" s="517"/>
      <c r="L54" s="517"/>
      <c r="M54" s="517"/>
    </row>
    <row r="55" spans="1:13" s="485" customFormat="1" ht="18" customHeight="1">
      <c r="A55" s="457">
        <v>44</v>
      </c>
      <c r="B55" s="461" t="s">
        <v>111</v>
      </c>
      <c r="C55" s="515">
        <f t="shared" si="2"/>
        <v>22000</v>
      </c>
      <c r="D55" s="515"/>
      <c r="E55" s="515">
        <f>'[4]Chi thường xuyên 2025 (PL 06)'!$C$280</f>
        <v>22000</v>
      </c>
      <c r="F55" s="517"/>
      <c r="G55" s="517"/>
      <c r="H55" s="517"/>
      <c r="I55" s="517"/>
      <c r="J55" s="517"/>
      <c r="K55" s="517"/>
      <c r="L55" s="517"/>
      <c r="M55" s="517"/>
    </row>
    <row r="56" spans="1:13" s="485" customFormat="1" ht="18" customHeight="1">
      <c r="A56" s="457">
        <v>45</v>
      </c>
      <c r="B56" s="461" t="s">
        <v>9</v>
      </c>
      <c r="C56" s="515">
        <f t="shared" si="2"/>
        <v>370</v>
      </c>
      <c r="D56" s="515"/>
      <c r="E56" s="515">
        <f>VLOOKUP(B56,'[4]Chi thường xuyên 2025 (PL 06)'!$B$12:$C$335,2,FALSE)</f>
        <v>370</v>
      </c>
      <c r="F56" s="517"/>
      <c r="G56" s="517"/>
      <c r="H56" s="517"/>
      <c r="I56" s="517"/>
      <c r="J56" s="517"/>
      <c r="K56" s="517"/>
      <c r="L56" s="517"/>
      <c r="M56" s="517"/>
    </row>
    <row r="57" spans="1:13" s="485" customFormat="1" ht="18" customHeight="1">
      <c r="A57" s="457">
        <v>46</v>
      </c>
      <c r="B57" s="461" t="s">
        <v>247</v>
      </c>
      <c r="C57" s="515">
        <f t="shared" si="2"/>
        <v>300</v>
      </c>
      <c r="D57" s="515"/>
      <c r="E57" s="515">
        <f>'[4]Chi thường xuyên 2025 (PL 06)'!$C$285</f>
        <v>300</v>
      </c>
      <c r="F57" s="517"/>
      <c r="G57" s="517"/>
      <c r="H57" s="517"/>
      <c r="I57" s="517"/>
      <c r="J57" s="517"/>
      <c r="K57" s="517"/>
      <c r="L57" s="517"/>
      <c r="M57" s="517"/>
    </row>
    <row r="58" spans="1:13" s="485" customFormat="1" ht="18" customHeight="1">
      <c r="A58" s="457">
        <v>47</v>
      </c>
      <c r="B58" s="461" t="s">
        <v>105</v>
      </c>
      <c r="C58" s="515">
        <f t="shared" si="2"/>
        <v>250</v>
      </c>
      <c r="D58" s="515"/>
      <c r="E58" s="515">
        <f>VLOOKUP(B58,'[4]Chi thường xuyên 2025 (PL 06)'!$B$12:$C$335,2,FALSE)</f>
        <v>250</v>
      </c>
      <c r="F58" s="517"/>
      <c r="G58" s="517"/>
      <c r="H58" s="517"/>
      <c r="I58" s="517"/>
      <c r="J58" s="517"/>
      <c r="K58" s="517"/>
      <c r="L58" s="517"/>
      <c r="M58" s="517"/>
    </row>
    <row r="59" spans="1:13" s="485" customFormat="1" ht="18" customHeight="1">
      <c r="A59" s="457">
        <v>48</v>
      </c>
      <c r="B59" s="461" t="s">
        <v>184</v>
      </c>
      <c r="C59" s="515">
        <f t="shared" si="2"/>
        <v>450</v>
      </c>
      <c r="D59" s="515"/>
      <c r="E59" s="515">
        <f>VLOOKUP(B59,'[4]Chi thường xuyên 2025 (PL 06)'!$B$12:$C$335,2,FALSE)</f>
        <v>450</v>
      </c>
      <c r="F59" s="517"/>
      <c r="G59" s="517"/>
      <c r="H59" s="517"/>
      <c r="I59" s="517"/>
      <c r="J59" s="517"/>
      <c r="K59" s="517"/>
      <c r="L59" s="517"/>
      <c r="M59" s="517"/>
    </row>
    <row r="60" spans="1:13" s="485" customFormat="1" ht="18" customHeight="1">
      <c r="A60" s="457">
        <v>49</v>
      </c>
      <c r="B60" s="461" t="s">
        <v>491</v>
      </c>
      <c r="C60" s="515">
        <f t="shared" si="2"/>
        <v>950</v>
      </c>
      <c r="D60" s="515"/>
      <c r="E60" s="515">
        <f>'[4]Chi thường xuyên 2025 (PL 06)'!$C$291</f>
        <v>950</v>
      </c>
      <c r="F60" s="517"/>
      <c r="G60" s="517"/>
      <c r="H60" s="517"/>
      <c r="I60" s="517"/>
      <c r="J60" s="517"/>
      <c r="K60" s="517"/>
      <c r="L60" s="517"/>
      <c r="M60" s="517"/>
    </row>
    <row r="61" spans="1:13" s="485" customFormat="1" ht="18" customHeight="1">
      <c r="A61" s="457">
        <v>50</v>
      </c>
      <c r="B61" s="461" t="s">
        <v>489</v>
      </c>
      <c r="C61" s="515">
        <f t="shared" si="2"/>
        <v>1180</v>
      </c>
      <c r="D61" s="515"/>
      <c r="E61" s="515">
        <f>VLOOKUP(B61,'[4]Chi thường xuyên 2025 (PL 06)'!$B$12:$C$335,2,FALSE)</f>
        <v>1180</v>
      </c>
      <c r="F61" s="517"/>
      <c r="G61" s="517"/>
      <c r="H61" s="517"/>
      <c r="I61" s="517"/>
      <c r="J61" s="517"/>
      <c r="K61" s="517"/>
      <c r="L61" s="517"/>
      <c r="M61" s="517"/>
    </row>
    <row r="62" spans="1:13" s="485" customFormat="1" ht="18" customHeight="1">
      <c r="A62" s="457">
        <v>51</v>
      </c>
      <c r="B62" s="461" t="s">
        <v>82</v>
      </c>
      <c r="C62" s="515">
        <f t="shared" si="2"/>
        <v>21502</v>
      </c>
      <c r="D62" s="515"/>
      <c r="E62" s="515">
        <f>VLOOKUP(B62,'[4]Chi thường xuyên 2025 (PL 06)'!$B$12:$C$335,2,FALSE)</f>
        <v>21502</v>
      </c>
      <c r="F62" s="517"/>
      <c r="G62" s="517"/>
      <c r="H62" s="517"/>
      <c r="I62" s="517"/>
      <c r="J62" s="517"/>
      <c r="K62" s="517"/>
      <c r="L62" s="517"/>
      <c r="M62" s="517"/>
    </row>
    <row r="63" spans="1:13" s="485" customFormat="1" ht="18" customHeight="1">
      <c r="A63" s="457">
        <v>52</v>
      </c>
      <c r="B63" s="461" t="s">
        <v>101</v>
      </c>
      <c r="C63" s="515">
        <f t="shared" si="2"/>
        <v>267547.88805576001</v>
      </c>
      <c r="D63" s="515"/>
      <c r="E63" s="515">
        <f>VLOOKUP(B63,'[4]Chi thường xuyên 2025 (PL 06)'!$B$12:$C$335,2,FALSE)</f>
        <v>267547.88805576001</v>
      </c>
      <c r="F63" s="517"/>
      <c r="G63" s="517"/>
      <c r="H63" s="517"/>
      <c r="I63" s="517"/>
      <c r="J63" s="517"/>
      <c r="K63" s="517"/>
      <c r="L63" s="517"/>
      <c r="M63" s="517"/>
    </row>
    <row r="64" spans="1:13" s="485" customFormat="1" ht="18" customHeight="1">
      <c r="A64" s="457">
        <v>53</v>
      </c>
      <c r="B64" s="461" t="s">
        <v>261</v>
      </c>
      <c r="C64" s="515">
        <f t="shared" si="2"/>
        <v>0</v>
      </c>
      <c r="D64" s="515"/>
      <c r="E64" s="515"/>
      <c r="F64" s="517"/>
      <c r="G64" s="517"/>
      <c r="H64" s="517"/>
      <c r="I64" s="517"/>
      <c r="J64" s="517"/>
      <c r="K64" s="517"/>
      <c r="L64" s="517"/>
      <c r="M64" s="517"/>
    </row>
    <row r="65" spans="1:13" s="485" customFormat="1" ht="19.5" customHeight="1">
      <c r="A65" s="457">
        <v>54</v>
      </c>
      <c r="B65" s="461" t="s">
        <v>81</v>
      </c>
      <c r="C65" s="515">
        <f t="shared" si="2"/>
        <v>586247.28</v>
      </c>
      <c r="D65" s="515"/>
      <c r="E65" s="515">
        <f>VLOOKUP(B65,'[4]Chi thường xuyên 2025 (PL 06)'!$B$12:$C$335,2,FALSE)</f>
        <v>586247.28</v>
      </c>
      <c r="F65" s="517"/>
      <c r="G65" s="517"/>
      <c r="H65" s="517"/>
      <c r="I65" s="517"/>
      <c r="J65" s="517"/>
      <c r="K65" s="517"/>
      <c r="L65" s="517"/>
      <c r="M65" s="517"/>
    </row>
    <row r="66" spans="1:13" s="485" customFormat="1" ht="19.5" customHeight="1">
      <c r="A66" s="457">
        <v>55</v>
      </c>
      <c r="B66" s="461" t="s">
        <v>743</v>
      </c>
      <c r="C66" s="515"/>
      <c r="D66" s="515">
        <f>'Bieu so 52'!C23</f>
        <v>16</v>
      </c>
      <c r="E66" s="515"/>
      <c r="F66" s="517"/>
      <c r="G66" s="517"/>
      <c r="H66" s="517"/>
      <c r="I66" s="517"/>
      <c r="J66" s="517"/>
      <c r="K66" s="517"/>
      <c r="L66" s="517"/>
      <c r="M66" s="517"/>
    </row>
    <row r="67" spans="1:13" s="485" customFormat="1" ht="19.5" customHeight="1">
      <c r="A67" s="457">
        <v>56</v>
      </c>
      <c r="B67" s="461" t="s">
        <v>744</v>
      </c>
      <c r="C67" s="515"/>
      <c r="D67" s="515">
        <f>'Bieu so 52'!C25</f>
        <v>1500</v>
      </c>
      <c r="E67" s="515"/>
      <c r="F67" s="517"/>
      <c r="G67" s="517"/>
      <c r="H67" s="517"/>
      <c r="I67" s="517"/>
      <c r="J67" s="517"/>
      <c r="K67" s="517"/>
      <c r="L67" s="517"/>
      <c r="M67" s="517"/>
    </row>
    <row r="68" spans="1:13" s="485" customFormat="1" ht="19.5" customHeight="1">
      <c r="A68" s="457">
        <v>57</v>
      </c>
      <c r="B68" s="461" t="s">
        <v>907</v>
      </c>
      <c r="C68" s="515"/>
      <c r="D68" s="515">
        <f>'Bieu so 52'!C12</f>
        <v>9500</v>
      </c>
      <c r="E68" s="515"/>
      <c r="F68" s="517"/>
      <c r="G68" s="517"/>
      <c r="H68" s="517"/>
      <c r="I68" s="517"/>
      <c r="J68" s="517"/>
      <c r="K68" s="517"/>
      <c r="L68" s="517"/>
      <c r="M68" s="517"/>
    </row>
    <row r="69" spans="1:13" s="485" customFormat="1" ht="19.5" customHeight="1">
      <c r="A69" s="457">
        <v>58</v>
      </c>
      <c r="B69" s="461" t="s">
        <v>908</v>
      </c>
      <c r="C69" s="515"/>
      <c r="D69" s="515">
        <f>'Bieu so 52'!C13</f>
        <v>465</v>
      </c>
      <c r="E69" s="515"/>
      <c r="F69" s="517"/>
      <c r="G69" s="517"/>
      <c r="H69" s="517"/>
      <c r="I69" s="517"/>
      <c r="J69" s="517"/>
      <c r="K69" s="517"/>
      <c r="L69" s="517"/>
      <c r="M69" s="517"/>
    </row>
    <row r="70" spans="1:13" s="485" customFormat="1" ht="19.5" customHeight="1">
      <c r="A70" s="457">
        <v>59</v>
      </c>
      <c r="B70" s="461" t="s">
        <v>909</v>
      </c>
      <c r="C70" s="515"/>
      <c r="D70" s="515">
        <f>'Bieu so 52'!C14</f>
        <v>510</v>
      </c>
      <c r="E70" s="515"/>
      <c r="F70" s="517"/>
      <c r="G70" s="517"/>
      <c r="H70" s="517"/>
      <c r="I70" s="517"/>
      <c r="J70" s="517"/>
      <c r="K70" s="517"/>
      <c r="L70" s="517"/>
      <c r="M70" s="517"/>
    </row>
    <row r="71" spans="1:13" s="485" customFormat="1" ht="19.5" customHeight="1">
      <c r="A71" s="457">
        <v>60</v>
      </c>
      <c r="B71" s="461" t="s">
        <v>910</v>
      </c>
      <c r="C71" s="515"/>
      <c r="D71" s="515">
        <f>'Bieu so 52'!C15</f>
        <v>527</v>
      </c>
      <c r="E71" s="515"/>
      <c r="F71" s="517"/>
      <c r="G71" s="517"/>
      <c r="H71" s="517"/>
      <c r="I71" s="517"/>
      <c r="J71" s="517"/>
      <c r="K71" s="517"/>
      <c r="L71" s="517"/>
      <c r="M71" s="517"/>
    </row>
    <row r="72" spans="1:13" s="485" customFormat="1" ht="19.5" customHeight="1">
      <c r="A72" s="457">
        <v>61</v>
      </c>
      <c r="B72" s="461" t="s">
        <v>918</v>
      </c>
      <c r="C72" s="515"/>
      <c r="D72" s="515">
        <f>'Bieu so 52'!C26</f>
        <v>606</v>
      </c>
      <c r="E72" s="515"/>
      <c r="F72" s="517"/>
      <c r="G72" s="517"/>
      <c r="H72" s="517"/>
      <c r="I72" s="517"/>
      <c r="J72" s="517"/>
      <c r="K72" s="517"/>
      <c r="L72" s="517"/>
      <c r="M72" s="517"/>
    </row>
    <row r="73" spans="1:13" s="485" customFormat="1" ht="19.5" customHeight="1">
      <c r="A73" s="457">
        <v>62</v>
      </c>
      <c r="B73" s="461" t="s">
        <v>919</v>
      </c>
      <c r="C73" s="515"/>
      <c r="D73" s="515">
        <f>'Bieu so 52'!C27</f>
        <v>24000</v>
      </c>
      <c r="E73" s="515"/>
      <c r="F73" s="517"/>
      <c r="G73" s="517"/>
      <c r="H73" s="517"/>
      <c r="I73" s="517"/>
      <c r="J73" s="517"/>
      <c r="K73" s="517"/>
      <c r="L73" s="517"/>
      <c r="M73" s="517"/>
    </row>
    <row r="74" spans="1:13" s="485" customFormat="1" ht="19.5" customHeight="1">
      <c r="A74" s="457">
        <v>63</v>
      </c>
      <c r="B74" s="461" t="s">
        <v>921</v>
      </c>
      <c r="C74" s="515"/>
      <c r="D74" s="515">
        <f>'Bieu so 52'!C29</f>
        <v>619264</v>
      </c>
      <c r="E74" s="515"/>
      <c r="F74" s="517"/>
      <c r="G74" s="517"/>
      <c r="H74" s="517"/>
      <c r="I74" s="517"/>
      <c r="J74" s="517"/>
      <c r="K74" s="517"/>
      <c r="L74" s="517"/>
      <c r="M74" s="517"/>
    </row>
    <row r="75" spans="1:13" s="485" customFormat="1" ht="19.5" customHeight="1">
      <c r="A75" s="457">
        <v>64</v>
      </c>
      <c r="B75" s="461" t="s">
        <v>922</v>
      </c>
      <c r="C75" s="515"/>
      <c r="D75" s="515">
        <f>'Bieu so 52'!C30</f>
        <v>911535</v>
      </c>
      <c r="E75" s="515"/>
      <c r="F75" s="517"/>
      <c r="G75" s="517"/>
      <c r="H75" s="517"/>
      <c r="I75" s="517"/>
      <c r="J75" s="517"/>
      <c r="K75" s="517"/>
      <c r="L75" s="517"/>
      <c r="M75" s="517"/>
    </row>
    <row r="76" spans="1:13" s="485" customFormat="1" ht="19.5" customHeight="1">
      <c r="A76" s="457">
        <v>65</v>
      </c>
      <c r="B76" s="461" t="s">
        <v>923</v>
      </c>
      <c r="C76" s="515"/>
      <c r="D76" s="515">
        <f>'Bieu so 52'!C31</f>
        <v>1034271</v>
      </c>
      <c r="E76" s="515"/>
      <c r="F76" s="517"/>
      <c r="G76" s="517"/>
      <c r="H76" s="517"/>
      <c r="I76" s="517"/>
      <c r="J76" s="517"/>
      <c r="K76" s="517"/>
      <c r="L76" s="517"/>
      <c r="M76" s="517"/>
    </row>
    <row r="77" spans="1:13" s="485" customFormat="1" ht="19.5" customHeight="1">
      <c r="A77" s="457">
        <v>66</v>
      </c>
      <c r="B77" s="461" t="s">
        <v>925</v>
      </c>
      <c r="C77" s="515"/>
      <c r="D77" s="515">
        <f>'Bieu so 52'!C33</f>
        <v>26474</v>
      </c>
      <c r="E77" s="515"/>
      <c r="F77" s="517"/>
      <c r="G77" s="517"/>
      <c r="H77" s="517"/>
      <c r="I77" s="517"/>
      <c r="J77" s="517"/>
      <c r="K77" s="517"/>
      <c r="L77" s="517"/>
      <c r="M77" s="517"/>
    </row>
    <row r="78" spans="1:13" s="485" customFormat="1" ht="19.5" customHeight="1">
      <c r="A78" s="457">
        <v>67</v>
      </c>
      <c r="B78" s="461" t="s">
        <v>926</v>
      </c>
      <c r="C78" s="515"/>
      <c r="D78" s="515">
        <f>'Bieu so 52'!C34</f>
        <v>5566</v>
      </c>
      <c r="E78" s="515"/>
      <c r="F78" s="517"/>
      <c r="G78" s="517"/>
      <c r="H78" s="517"/>
      <c r="I78" s="517"/>
      <c r="J78" s="517"/>
      <c r="K78" s="517"/>
      <c r="L78" s="517"/>
      <c r="M78" s="517"/>
    </row>
    <row r="79" spans="1:13" s="485" customFormat="1" ht="19.5" customHeight="1">
      <c r="A79" s="457">
        <v>68</v>
      </c>
      <c r="B79" s="461" t="s">
        <v>927</v>
      </c>
      <c r="C79" s="515"/>
      <c r="D79" s="515">
        <f>'Bieu so 52'!C35</f>
        <v>137077</v>
      </c>
      <c r="E79" s="515"/>
      <c r="F79" s="517"/>
      <c r="G79" s="517"/>
      <c r="H79" s="517"/>
      <c r="I79" s="517"/>
      <c r="J79" s="517"/>
      <c r="K79" s="517"/>
      <c r="L79" s="517"/>
      <c r="M79" s="517"/>
    </row>
    <row r="80" spans="1:13" s="485" customFormat="1" ht="19.5" customHeight="1">
      <c r="A80" s="457">
        <v>69</v>
      </c>
      <c r="B80" s="461" t="s">
        <v>928</v>
      </c>
      <c r="C80" s="515"/>
      <c r="D80" s="515">
        <f>'Bieu so 52'!C36</f>
        <v>78484</v>
      </c>
      <c r="E80" s="515"/>
      <c r="F80" s="517"/>
      <c r="G80" s="517"/>
      <c r="H80" s="517"/>
      <c r="I80" s="517"/>
      <c r="J80" s="517"/>
      <c r="K80" s="517"/>
      <c r="L80" s="517"/>
      <c r="M80" s="517"/>
    </row>
    <row r="81" spans="1:13" s="485" customFormat="1" ht="19.5" customHeight="1">
      <c r="A81" s="457">
        <v>70</v>
      </c>
      <c r="B81" s="461" t="s">
        <v>929</v>
      </c>
      <c r="C81" s="515"/>
      <c r="D81" s="515">
        <f>'Bieu so 52'!C37</f>
        <v>96259</v>
      </c>
      <c r="E81" s="515"/>
      <c r="F81" s="517"/>
      <c r="G81" s="517"/>
      <c r="H81" s="517"/>
      <c r="I81" s="517"/>
      <c r="J81" s="517"/>
      <c r="K81" s="517"/>
      <c r="L81" s="517"/>
      <c r="M81" s="517"/>
    </row>
    <row r="82" spans="1:13" s="485" customFormat="1" ht="19.5" customHeight="1">
      <c r="A82" s="457">
        <v>71</v>
      </c>
      <c r="B82" s="461" t="s">
        <v>930</v>
      </c>
      <c r="C82" s="515"/>
      <c r="D82" s="515">
        <f>'Bieu so 52'!C38</f>
        <v>234685</v>
      </c>
      <c r="E82" s="515"/>
      <c r="F82" s="517"/>
      <c r="G82" s="517"/>
      <c r="H82" s="517"/>
      <c r="I82" s="517"/>
      <c r="J82" s="517"/>
      <c r="K82" s="517"/>
      <c r="L82" s="517"/>
      <c r="M82" s="517"/>
    </row>
    <row r="83" spans="1:13" s="485" customFormat="1" ht="19.5" customHeight="1">
      <c r="A83" s="457">
        <v>72</v>
      </c>
      <c r="B83" s="461" t="s">
        <v>931</v>
      </c>
      <c r="C83" s="515"/>
      <c r="D83" s="515">
        <f>'Bieu so 52'!C39</f>
        <v>31400</v>
      </c>
      <c r="E83" s="515"/>
      <c r="F83" s="517"/>
      <c r="G83" s="517"/>
      <c r="H83" s="517"/>
      <c r="I83" s="517"/>
      <c r="J83" s="517"/>
      <c r="K83" s="517"/>
      <c r="L83" s="517"/>
      <c r="M83" s="517"/>
    </row>
    <row r="84" spans="1:13" s="485" customFormat="1" ht="19.5" customHeight="1">
      <c r="A84" s="457">
        <v>73</v>
      </c>
      <c r="B84" s="461" t="s">
        <v>932</v>
      </c>
      <c r="C84" s="515"/>
      <c r="D84" s="515">
        <f>'Bieu so 52'!C40</f>
        <v>124693</v>
      </c>
      <c r="E84" s="515"/>
      <c r="F84" s="517"/>
      <c r="G84" s="517"/>
      <c r="H84" s="517"/>
      <c r="I84" s="517"/>
      <c r="J84" s="517"/>
      <c r="K84" s="517"/>
      <c r="L84" s="517"/>
      <c r="M84" s="517"/>
    </row>
    <row r="85" spans="1:13" s="485" customFormat="1" ht="19.5" customHeight="1">
      <c r="A85" s="457">
        <v>74</v>
      </c>
      <c r="B85" s="461" t="s">
        <v>933</v>
      </c>
      <c r="C85" s="515"/>
      <c r="D85" s="515">
        <f>'Bieu so 52'!C41</f>
        <v>460059.4</v>
      </c>
      <c r="E85" s="515"/>
      <c r="F85" s="517"/>
      <c r="G85" s="517"/>
      <c r="H85" s="517"/>
      <c r="I85" s="517"/>
      <c r="J85" s="517"/>
      <c r="K85" s="517"/>
      <c r="L85" s="517"/>
      <c r="M85" s="517"/>
    </row>
    <row r="86" spans="1:13" s="485" customFormat="1" ht="19.5" customHeight="1">
      <c r="A86" s="457">
        <v>75</v>
      </c>
      <c r="B86" s="461" t="s">
        <v>934</v>
      </c>
      <c r="C86" s="515"/>
      <c r="D86" s="515">
        <f>'Bieu so 52'!C42</f>
        <v>9500</v>
      </c>
      <c r="E86" s="515"/>
      <c r="F86" s="517"/>
      <c r="G86" s="517"/>
      <c r="H86" s="517"/>
      <c r="I86" s="517"/>
      <c r="J86" s="517"/>
      <c r="K86" s="517"/>
      <c r="L86" s="517"/>
      <c r="M86" s="517"/>
    </row>
    <row r="87" spans="1:13" s="485" customFormat="1" ht="19.5" customHeight="1">
      <c r="A87" s="457">
        <v>76</v>
      </c>
      <c r="B87" s="461" t="s">
        <v>935</v>
      </c>
      <c r="C87" s="515"/>
      <c r="D87" s="515">
        <f>'Bieu so 52'!C43</f>
        <v>136500</v>
      </c>
      <c r="E87" s="515"/>
      <c r="F87" s="517"/>
      <c r="G87" s="517"/>
      <c r="H87" s="517"/>
      <c r="I87" s="517"/>
      <c r="J87" s="517"/>
      <c r="K87" s="517"/>
      <c r="L87" s="517"/>
      <c r="M87" s="517"/>
    </row>
    <row r="88" spans="1:13" s="485" customFormat="1" ht="19.5" customHeight="1">
      <c r="A88" s="457">
        <v>77</v>
      </c>
      <c r="B88" s="461" t="s">
        <v>936</v>
      </c>
      <c r="C88" s="515"/>
      <c r="D88" s="515">
        <f>'Bieu so 52'!C44</f>
        <v>30000</v>
      </c>
      <c r="E88" s="515"/>
      <c r="F88" s="517"/>
      <c r="G88" s="517"/>
      <c r="H88" s="517"/>
      <c r="I88" s="517"/>
      <c r="J88" s="517"/>
      <c r="K88" s="517"/>
      <c r="L88" s="517"/>
      <c r="M88" s="517"/>
    </row>
    <row r="89" spans="1:13" s="485" customFormat="1" ht="19.5" customHeight="1">
      <c r="A89" s="457">
        <v>78</v>
      </c>
      <c r="B89" s="461" t="s">
        <v>540</v>
      </c>
      <c r="C89" s="515"/>
      <c r="D89" s="515">
        <f>'Bieu so 52'!C45</f>
        <v>3994117</v>
      </c>
      <c r="E89" s="515"/>
      <c r="F89" s="517"/>
      <c r="G89" s="517"/>
      <c r="H89" s="517"/>
      <c r="I89" s="517"/>
      <c r="J89" s="517"/>
      <c r="K89" s="517"/>
      <c r="L89" s="517"/>
      <c r="M89" s="517"/>
    </row>
    <row r="90" spans="1:13" s="518" customFormat="1" ht="25.5">
      <c r="A90" s="588" t="s">
        <v>49</v>
      </c>
      <c r="B90" s="590" t="s">
        <v>181</v>
      </c>
      <c r="C90" s="514">
        <f>SUM(D90:J90)+M90</f>
        <v>43200</v>
      </c>
      <c r="D90" s="514"/>
      <c r="E90" s="514"/>
      <c r="F90" s="514">
        <f>'Bieu so 50'!C39</f>
        <v>43200</v>
      </c>
      <c r="G90" s="514"/>
      <c r="H90" s="514"/>
      <c r="I90" s="514"/>
      <c r="J90" s="514"/>
      <c r="K90" s="514"/>
      <c r="L90" s="514"/>
      <c r="M90" s="514"/>
    </row>
    <row r="91" spans="1:13" s="518" customFormat="1" ht="15.6" customHeight="1">
      <c r="A91" s="588" t="s">
        <v>22</v>
      </c>
      <c r="B91" s="590" t="s">
        <v>182</v>
      </c>
      <c r="C91" s="514">
        <f t="shared" ref="C91:C94" si="3">SUM(D91:J91)+M91</f>
        <v>2300</v>
      </c>
      <c r="D91" s="514"/>
      <c r="E91" s="514"/>
      <c r="F91" s="514"/>
      <c r="G91" s="514">
        <f>'Bieu so 50'!C40</f>
        <v>2300</v>
      </c>
      <c r="H91" s="514"/>
      <c r="I91" s="514"/>
      <c r="J91" s="514"/>
      <c r="K91" s="514"/>
      <c r="L91" s="514"/>
      <c r="M91" s="514"/>
    </row>
    <row r="92" spans="1:13" s="518" customFormat="1" ht="15.6" customHeight="1">
      <c r="A92" s="588" t="s">
        <v>23</v>
      </c>
      <c r="B92" s="590" t="s">
        <v>183</v>
      </c>
      <c r="C92" s="514">
        <f t="shared" si="3"/>
        <v>557319.11550368206</v>
      </c>
      <c r="D92" s="514"/>
      <c r="E92" s="514"/>
      <c r="F92" s="514"/>
      <c r="G92" s="514"/>
      <c r="H92" s="514">
        <f>'Bieu so 50'!C41</f>
        <v>557319.11550368206</v>
      </c>
      <c r="I92" s="514"/>
      <c r="J92" s="514"/>
      <c r="K92" s="514"/>
      <c r="L92" s="514"/>
      <c r="M92" s="514"/>
    </row>
    <row r="93" spans="1:13" s="518" customFormat="1" ht="15.6" customHeight="1">
      <c r="A93" s="588" t="s">
        <v>24</v>
      </c>
      <c r="B93" s="590" t="s">
        <v>248</v>
      </c>
      <c r="C93" s="514">
        <f t="shared" si="3"/>
        <v>675045</v>
      </c>
      <c r="D93" s="514"/>
      <c r="E93" s="514"/>
      <c r="F93" s="514"/>
      <c r="G93" s="514"/>
      <c r="H93" s="514"/>
      <c r="I93" s="514">
        <f>'Bieu so 50'!C42</f>
        <v>675045</v>
      </c>
      <c r="J93" s="514"/>
      <c r="K93" s="514"/>
      <c r="L93" s="514"/>
      <c r="M93" s="514"/>
    </row>
    <row r="94" spans="1:13" s="518" customFormat="1" ht="25.5">
      <c r="A94" s="588" t="s">
        <v>25</v>
      </c>
      <c r="B94" s="590" t="s">
        <v>939</v>
      </c>
      <c r="C94" s="514">
        <f t="shared" si="3"/>
        <v>1044490.4</v>
      </c>
      <c r="D94" s="514">
        <f>'Bieu so 52'!C12+'Bieu so 52'!C13+'Bieu so 52'!C14+'Bieu so 52'!C15</f>
        <v>11002</v>
      </c>
      <c r="E94" s="514">
        <f>'Bieu so 47'!C24</f>
        <v>1033488.4</v>
      </c>
      <c r="F94" s="514"/>
      <c r="G94" s="514"/>
      <c r="H94" s="514"/>
      <c r="I94" s="514"/>
      <c r="J94" s="514">
        <f>K94+L94</f>
        <v>0</v>
      </c>
      <c r="K94" s="514"/>
      <c r="L94" s="514"/>
      <c r="M94" s="514"/>
    </row>
    <row r="95" spans="1:13" s="518" customFormat="1" ht="16.149999999999999" customHeight="1">
      <c r="A95" s="588" t="s">
        <v>26</v>
      </c>
      <c r="B95" s="590" t="s">
        <v>238</v>
      </c>
      <c r="C95" s="591"/>
      <c r="D95" s="591"/>
      <c r="E95" s="591"/>
      <c r="F95" s="591"/>
      <c r="G95" s="591"/>
      <c r="H95" s="591"/>
      <c r="I95" s="591"/>
      <c r="J95" s="591"/>
      <c r="K95" s="591"/>
      <c r="L95" s="591"/>
      <c r="M95" s="591"/>
    </row>
    <row r="96" spans="1:13">
      <c r="D96" s="592"/>
    </row>
    <row r="97" spans="4:4">
      <c r="D97" s="592"/>
    </row>
  </sheetData>
  <mergeCells count="16">
    <mergeCell ref="H7:H8"/>
    <mergeCell ref="I7:I8"/>
    <mergeCell ref="J7:L7"/>
    <mergeCell ref="M7:M8"/>
    <mergeCell ref="A1:B1"/>
    <mergeCell ref="J1:M1"/>
    <mergeCell ref="A3:M3"/>
    <mergeCell ref="A4:M4"/>
    <mergeCell ref="J6:M6"/>
    <mergeCell ref="F7:F8"/>
    <mergeCell ref="G7:G8"/>
    <mergeCell ref="A7:A8"/>
    <mergeCell ref="B7:B8"/>
    <mergeCell ref="C7:C8"/>
    <mergeCell ref="D7:D8"/>
    <mergeCell ref="E7:E8"/>
  </mergeCells>
  <conditionalFormatting sqref="B68 B74">
    <cfRule type="duplicateValues" dxfId="102" priority="68"/>
    <cfRule type="duplicateValues" dxfId="101" priority="67"/>
  </conditionalFormatting>
  <conditionalFormatting sqref="B69">
    <cfRule type="duplicateValues" dxfId="100" priority="38"/>
    <cfRule type="duplicateValues" dxfId="99" priority="37"/>
  </conditionalFormatting>
  <conditionalFormatting sqref="B70">
    <cfRule type="duplicateValues" dxfId="98" priority="36"/>
    <cfRule type="duplicateValues" dxfId="97" priority="35"/>
  </conditionalFormatting>
  <conditionalFormatting sqref="B71">
    <cfRule type="duplicateValues" dxfId="96" priority="34"/>
    <cfRule type="duplicateValues" dxfId="95" priority="33"/>
  </conditionalFormatting>
  <conditionalFormatting sqref="B72">
    <cfRule type="duplicateValues" dxfId="94" priority="32"/>
    <cfRule type="duplicateValues" dxfId="93" priority="31"/>
  </conditionalFormatting>
  <conditionalFormatting sqref="B73">
    <cfRule type="duplicateValues" dxfId="92" priority="30"/>
    <cfRule type="duplicateValues" dxfId="91" priority="29"/>
  </conditionalFormatting>
  <conditionalFormatting sqref="B75">
    <cfRule type="duplicateValues" dxfId="90" priority="28"/>
    <cfRule type="duplicateValues" dxfId="89" priority="27"/>
  </conditionalFormatting>
  <conditionalFormatting sqref="B76">
    <cfRule type="duplicateValues" dxfId="88" priority="26"/>
    <cfRule type="duplicateValues" dxfId="87" priority="25"/>
  </conditionalFormatting>
  <conditionalFormatting sqref="B77">
    <cfRule type="duplicateValues" dxfId="86" priority="22"/>
    <cfRule type="duplicateValues" dxfId="85" priority="21"/>
  </conditionalFormatting>
  <conditionalFormatting sqref="B78">
    <cfRule type="duplicateValues" dxfId="84" priority="19"/>
    <cfRule type="duplicateValues" dxfId="83" priority="20"/>
  </conditionalFormatting>
  <conditionalFormatting sqref="B79">
    <cfRule type="duplicateValues" dxfId="82" priority="18"/>
    <cfRule type="duplicateValues" dxfId="81" priority="17"/>
  </conditionalFormatting>
  <conditionalFormatting sqref="B80">
    <cfRule type="duplicateValues" dxfId="80" priority="16"/>
    <cfRule type="duplicateValues" dxfId="79" priority="15"/>
  </conditionalFormatting>
  <conditionalFormatting sqref="B81">
    <cfRule type="duplicateValues" dxfId="78" priority="14"/>
    <cfRule type="duplicateValues" dxfId="77" priority="13"/>
  </conditionalFormatting>
  <conditionalFormatting sqref="B82">
    <cfRule type="duplicateValues" dxfId="76" priority="12"/>
    <cfRule type="duplicateValues" dxfId="75" priority="11"/>
  </conditionalFormatting>
  <conditionalFormatting sqref="B83">
    <cfRule type="duplicateValues" dxfId="74" priority="10"/>
    <cfRule type="duplicateValues" dxfId="73" priority="9"/>
  </conditionalFormatting>
  <conditionalFormatting sqref="B84">
    <cfRule type="duplicateValues" dxfId="72" priority="8"/>
    <cfRule type="duplicateValues" dxfId="71" priority="7"/>
  </conditionalFormatting>
  <conditionalFormatting sqref="B85">
    <cfRule type="duplicateValues" dxfId="70" priority="6"/>
    <cfRule type="duplicateValues" dxfId="69" priority="5"/>
  </conditionalFormatting>
  <conditionalFormatting sqref="B86">
    <cfRule type="duplicateValues" dxfId="68" priority="4"/>
    <cfRule type="duplicateValues" dxfId="67" priority="3"/>
  </conditionalFormatting>
  <conditionalFormatting sqref="B87:B88">
    <cfRule type="duplicateValues" dxfId="66" priority="2"/>
    <cfRule type="duplicateValues" dxfId="65" priority="1"/>
  </conditionalFormatting>
  <pageMargins left="0.70866141732283472" right="0.27559055118110237" top="0.59055118110236227" bottom="0.39370078740157483" header="0.31496062992125984" footer="0.31496062992125984"/>
  <pageSetup paperSize="9" scale="8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NP64"/>
  <sheetViews>
    <sheetView zoomScale="85" zoomScaleNormal="85" workbookViewId="0">
      <pane xSplit="3" ySplit="11" topLeftCell="D12" activePane="bottomRight" state="frozen"/>
      <selection pane="topRight" activeCell="D1" sqref="D1"/>
      <selection pane="bottomLeft" activeCell="A13" sqref="A13"/>
      <selection pane="bottomRight" activeCell="H25" sqref="H25"/>
    </sheetView>
  </sheetViews>
  <sheetFormatPr defaultColWidth="9.140625" defaultRowHeight="12.75"/>
  <cols>
    <col min="1" max="1" width="5.28515625" style="71" customWidth="1"/>
    <col min="2" max="2" width="41.42578125" style="92" customWidth="1"/>
    <col min="3" max="3" width="10.5703125" style="93" customWidth="1"/>
    <col min="4" max="4" width="10.28515625" style="93" customWidth="1"/>
    <col min="5" max="5" width="8.28515625" style="93" customWidth="1"/>
    <col min="6" max="6" width="14" style="93" customWidth="1"/>
    <col min="7" max="7" width="12.85546875" style="93" customWidth="1"/>
    <col min="8" max="8" width="10.7109375" style="93" customWidth="1"/>
    <col min="9" max="9" width="7.7109375" style="93" customWidth="1"/>
    <col min="10" max="10" width="9.42578125" style="93" customWidth="1"/>
    <col min="11" max="11" width="13.7109375" style="93" customWidth="1"/>
    <col min="12" max="12" width="11" style="93" customWidth="1"/>
    <col min="13" max="13" width="10.42578125" style="93" customWidth="1"/>
    <col min="14" max="14" width="9.7109375" style="93" customWidth="1"/>
    <col min="15" max="15" width="7.7109375" style="93" customWidth="1"/>
    <col min="16" max="249" width="9.140625" style="68"/>
    <col min="250" max="250" width="5.28515625" style="68" customWidth="1"/>
    <col min="251" max="251" width="43.85546875" style="68" customWidth="1"/>
    <col min="252" max="252" width="9" style="68" customWidth="1"/>
    <col min="253" max="253" width="7.140625" style="68" customWidth="1"/>
    <col min="254" max="254" width="7.5703125" style="68" customWidth="1"/>
    <col min="255" max="255" width="7.28515625" style="68" customWidth="1"/>
    <col min="256" max="256" width="7.5703125" style="68" customWidth="1"/>
    <col min="257" max="257" width="7.42578125" style="68" customWidth="1"/>
    <col min="258" max="258" width="7" style="68" customWidth="1"/>
    <col min="259" max="259" width="6" style="68" customWidth="1"/>
    <col min="260" max="260" width="7.42578125" style="68" customWidth="1"/>
    <col min="261" max="261" width="8.42578125" style="68" customWidth="1"/>
    <col min="262" max="262" width="7.7109375" style="68" customWidth="1"/>
    <col min="263" max="263" width="6.85546875" style="68" customWidth="1"/>
    <col min="264" max="380" width="9.140625" style="68"/>
    <col min="381" max="505" width="9.140625" style="71"/>
    <col min="506" max="506" width="5.28515625" style="71" customWidth="1"/>
    <col min="507" max="507" width="43.85546875" style="71" customWidth="1"/>
    <col min="508" max="508" width="9" style="71" customWidth="1"/>
    <col min="509" max="509" width="7.140625" style="71" customWidth="1"/>
    <col min="510" max="510" width="7.5703125" style="71" customWidth="1"/>
    <col min="511" max="511" width="7.28515625" style="71" customWidth="1"/>
    <col min="512" max="512" width="7.5703125" style="71" customWidth="1"/>
    <col min="513" max="513" width="7.42578125" style="71" customWidth="1"/>
    <col min="514" max="514" width="7" style="71" customWidth="1"/>
    <col min="515" max="515" width="6" style="71" customWidth="1"/>
    <col min="516" max="516" width="7.42578125" style="71" customWidth="1"/>
    <col min="517" max="517" width="8.42578125" style="71" customWidth="1"/>
    <col min="518" max="518" width="7.7109375" style="71" customWidth="1"/>
    <col min="519" max="519" width="6.85546875" style="71" customWidth="1"/>
    <col min="520" max="761" width="9.140625" style="71"/>
    <col min="762" max="762" width="5.28515625" style="71" customWidth="1"/>
    <col min="763" max="763" width="43.85546875" style="71" customWidth="1"/>
    <col min="764" max="764" width="9" style="71" customWidth="1"/>
    <col min="765" max="765" width="7.140625" style="71" customWidth="1"/>
    <col min="766" max="766" width="7.5703125" style="71" customWidth="1"/>
    <col min="767" max="767" width="7.28515625" style="71" customWidth="1"/>
    <col min="768" max="768" width="7.5703125" style="71" customWidth="1"/>
    <col min="769" max="769" width="7.42578125" style="71" customWidth="1"/>
    <col min="770" max="770" width="7" style="71" customWidth="1"/>
    <col min="771" max="771" width="6" style="71" customWidth="1"/>
    <col min="772" max="772" width="7.42578125" style="71" customWidth="1"/>
    <col min="773" max="773" width="8.42578125" style="71" customWidth="1"/>
    <col min="774" max="774" width="7.7109375" style="71" customWidth="1"/>
    <col min="775" max="775" width="6.85546875" style="71" customWidth="1"/>
    <col min="776" max="1017" width="9.140625" style="71"/>
    <col min="1018" max="1018" width="5.28515625" style="71" customWidth="1"/>
    <col min="1019" max="1019" width="43.85546875" style="71" customWidth="1"/>
    <col min="1020" max="1020" width="9" style="71" customWidth="1"/>
    <col min="1021" max="1021" width="7.140625" style="71" customWidth="1"/>
    <col min="1022" max="1022" width="7.5703125" style="71" customWidth="1"/>
    <col min="1023" max="1023" width="7.28515625" style="71" customWidth="1"/>
    <col min="1024" max="1024" width="7.5703125" style="71" customWidth="1"/>
    <col min="1025" max="1025" width="7.42578125" style="71" customWidth="1"/>
    <col min="1026" max="1026" width="7" style="71" customWidth="1"/>
    <col min="1027" max="1027" width="6" style="71" customWidth="1"/>
    <col min="1028" max="1028" width="7.42578125" style="71" customWidth="1"/>
    <col min="1029" max="1029" width="8.42578125" style="71" customWidth="1"/>
    <col min="1030" max="1030" width="7.7109375" style="71" customWidth="1"/>
    <col min="1031" max="1031" width="6.85546875" style="71" customWidth="1"/>
    <col min="1032" max="1273" width="9.140625" style="71"/>
    <col min="1274" max="1274" width="5.28515625" style="71" customWidth="1"/>
    <col min="1275" max="1275" width="43.85546875" style="71" customWidth="1"/>
    <col min="1276" max="1276" width="9" style="71" customWidth="1"/>
    <col min="1277" max="1277" width="7.140625" style="71" customWidth="1"/>
    <col min="1278" max="1278" width="7.5703125" style="71" customWidth="1"/>
    <col min="1279" max="1279" width="7.28515625" style="71" customWidth="1"/>
    <col min="1280" max="1280" width="7.5703125" style="71" customWidth="1"/>
    <col min="1281" max="1281" width="7.42578125" style="71" customWidth="1"/>
    <col min="1282" max="1282" width="7" style="71" customWidth="1"/>
    <col min="1283" max="1283" width="6" style="71" customWidth="1"/>
    <col min="1284" max="1284" width="7.42578125" style="71" customWidth="1"/>
    <col min="1285" max="1285" width="8.42578125" style="71" customWidth="1"/>
    <col min="1286" max="1286" width="7.7109375" style="71" customWidth="1"/>
    <col min="1287" max="1287" width="6.85546875" style="71" customWidth="1"/>
    <col min="1288" max="1529" width="9.140625" style="71"/>
    <col min="1530" max="1530" width="5.28515625" style="71" customWidth="1"/>
    <col min="1531" max="1531" width="43.85546875" style="71" customWidth="1"/>
    <col min="1532" max="1532" width="9" style="71" customWidth="1"/>
    <col min="1533" max="1533" width="7.140625" style="71" customWidth="1"/>
    <col min="1534" max="1534" width="7.5703125" style="71" customWidth="1"/>
    <col min="1535" max="1535" width="7.28515625" style="71" customWidth="1"/>
    <col min="1536" max="1536" width="7.5703125" style="71" customWidth="1"/>
    <col min="1537" max="1537" width="7.42578125" style="71" customWidth="1"/>
    <col min="1538" max="1538" width="7" style="71" customWidth="1"/>
    <col min="1539" max="1539" width="6" style="71" customWidth="1"/>
    <col min="1540" max="1540" width="7.42578125" style="71" customWidth="1"/>
    <col min="1541" max="1541" width="8.42578125" style="71" customWidth="1"/>
    <col min="1542" max="1542" width="7.7109375" style="71" customWidth="1"/>
    <col min="1543" max="1543" width="6.85546875" style="71" customWidth="1"/>
    <col min="1544" max="1785" width="9.140625" style="71"/>
    <col min="1786" max="1786" width="5.28515625" style="71" customWidth="1"/>
    <col min="1787" max="1787" width="43.85546875" style="71" customWidth="1"/>
    <col min="1788" max="1788" width="9" style="71" customWidth="1"/>
    <col min="1789" max="1789" width="7.140625" style="71" customWidth="1"/>
    <col min="1790" max="1790" width="7.5703125" style="71" customWidth="1"/>
    <col min="1791" max="1791" width="7.28515625" style="71" customWidth="1"/>
    <col min="1792" max="1792" width="7.5703125" style="71" customWidth="1"/>
    <col min="1793" max="1793" width="7.42578125" style="71" customWidth="1"/>
    <col min="1794" max="1794" width="7" style="71" customWidth="1"/>
    <col min="1795" max="1795" width="6" style="71" customWidth="1"/>
    <col min="1796" max="1796" width="7.42578125" style="71" customWidth="1"/>
    <col min="1797" max="1797" width="8.42578125" style="71" customWidth="1"/>
    <col min="1798" max="1798" width="7.7109375" style="71" customWidth="1"/>
    <col min="1799" max="1799" width="6.85546875" style="71" customWidth="1"/>
    <col min="1800" max="2041" width="9.140625" style="71"/>
    <col min="2042" max="2042" width="5.28515625" style="71" customWidth="1"/>
    <col min="2043" max="2043" width="43.85546875" style="71" customWidth="1"/>
    <col min="2044" max="2044" width="9" style="71" customWidth="1"/>
    <col min="2045" max="2045" width="7.140625" style="71" customWidth="1"/>
    <col min="2046" max="2046" width="7.5703125" style="71" customWidth="1"/>
    <col min="2047" max="2047" width="7.28515625" style="71" customWidth="1"/>
    <col min="2048" max="2048" width="7.5703125" style="71" customWidth="1"/>
    <col min="2049" max="2049" width="7.42578125" style="71" customWidth="1"/>
    <col min="2050" max="2050" width="7" style="71" customWidth="1"/>
    <col min="2051" max="2051" width="6" style="71" customWidth="1"/>
    <col min="2052" max="2052" width="7.42578125" style="71" customWidth="1"/>
    <col min="2053" max="2053" width="8.42578125" style="71" customWidth="1"/>
    <col min="2054" max="2054" width="7.7109375" style="71" customWidth="1"/>
    <col min="2055" max="2055" width="6.85546875" style="71" customWidth="1"/>
    <col min="2056" max="2297" width="9.140625" style="71"/>
    <col min="2298" max="2298" width="5.28515625" style="71" customWidth="1"/>
    <col min="2299" max="2299" width="43.85546875" style="71" customWidth="1"/>
    <col min="2300" max="2300" width="9" style="71" customWidth="1"/>
    <col min="2301" max="2301" width="7.140625" style="71" customWidth="1"/>
    <col min="2302" max="2302" width="7.5703125" style="71" customWidth="1"/>
    <col min="2303" max="2303" width="7.28515625" style="71" customWidth="1"/>
    <col min="2304" max="2304" width="7.5703125" style="71" customWidth="1"/>
    <col min="2305" max="2305" width="7.42578125" style="71" customWidth="1"/>
    <col min="2306" max="2306" width="7" style="71" customWidth="1"/>
    <col min="2307" max="2307" width="6" style="71" customWidth="1"/>
    <col min="2308" max="2308" width="7.42578125" style="71" customWidth="1"/>
    <col min="2309" max="2309" width="8.42578125" style="71" customWidth="1"/>
    <col min="2310" max="2310" width="7.7109375" style="71" customWidth="1"/>
    <col min="2311" max="2311" width="6.85546875" style="71" customWidth="1"/>
    <col min="2312" max="2553" width="9.140625" style="71"/>
    <col min="2554" max="2554" width="5.28515625" style="71" customWidth="1"/>
    <col min="2555" max="2555" width="43.85546875" style="71" customWidth="1"/>
    <col min="2556" max="2556" width="9" style="71" customWidth="1"/>
    <col min="2557" max="2557" width="7.140625" style="71" customWidth="1"/>
    <col min="2558" max="2558" width="7.5703125" style="71" customWidth="1"/>
    <col min="2559" max="2559" width="7.28515625" style="71" customWidth="1"/>
    <col min="2560" max="2560" width="7.5703125" style="71" customWidth="1"/>
    <col min="2561" max="2561" width="7.42578125" style="71" customWidth="1"/>
    <col min="2562" max="2562" width="7" style="71" customWidth="1"/>
    <col min="2563" max="2563" width="6" style="71" customWidth="1"/>
    <col min="2564" max="2564" width="7.42578125" style="71" customWidth="1"/>
    <col min="2565" max="2565" width="8.42578125" style="71" customWidth="1"/>
    <col min="2566" max="2566" width="7.7109375" style="71" customWidth="1"/>
    <col min="2567" max="2567" width="6.85546875" style="71" customWidth="1"/>
    <col min="2568" max="2809" width="9.140625" style="71"/>
    <col min="2810" max="2810" width="5.28515625" style="71" customWidth="1"/>
    <col min="2811" max="2811" width="43.85546875" style="71" customWidth="1"/>
    <col min="2812" max="2812" width="9" style="71" customWidth="1"/>
    <col min="2813" max="2813" width="7.140625" style="71" customWidth="1"/>
    <col min="2814" max="2814" width="7.5703125" style="71" customWidth="1"/>
    <col min="2815" max="2815" width="7.28515625" style="71" customWidth="1"/>
    <col min="2816" max="2816" width="7.5703125" style="71" customWidth="1"/>
    <col min="2817" max="2817" width="7.42578125" style="71" customWidth="1"/>
    <col min="2818" max="2818" width="7" style="71" customWidth="1"/>
    <col min="2819" max="2819" width="6" style="71" customWidth="1"/>
    <col min="2820" max="2820" width="7.42578125" style="71" customWidth="1"/>
    <col min="2821" max="2821" width="8.42578125" style="71" customWidth="1"/>
    <col min="2822" max="2822" width="7.7109375" style="71" customWidth="1"/>
    <col min="2823" max="2823" width="6.85546875" style="71" customWidth="1"/>
    <col min="2824" max="3065" width="9.140625" style="71"/>
    <col min="3066" max="3066" width="5.28515625" style="71" customWidth="1"/>
    <col min="3067" max="3067" width="43.85546875" style="71" customWidth="1"/>
    <col min="3068" max="3068" width="9" style="71" customWidth="1"/>
    <col min="3069" max="3069" width="7.140625" style="71" customWidth="1"/>
    <col min="3070" max="3070" width="7.5703125" style="71" customWidth="1"/>
    <col min="3071" max="3071" width="7.28515625" style="71" customWidth="1"/>
    <col min="3072" max="3072" width="7.5703125" style="71" customWidth="1"/>
    <col min="3073" max="3073" width="7.42578125" style="71" customWidth="1"/>
    <col min="3074" max="3074" width="7" style="71" customWidth="1"/>
    <col min="3075" max="3075" width="6" style="71" customWidth="1"/>
    <col min="3076" max="3076" width="7.42578125" style="71" customWidth="1"/>
    <col min="3077" max="3077" width="8.42578125" style="71" customWidth="1"/>
    <col min="3078" max="3078" width="7.7109375" style="71" customWidth="1"/>
    <col min="3079" max="3079" width="6.85546875" style="71" customWidth="1"/>
    <col min="3080" max="3321" width="9.140625" style="71"/>
    <col min="3322" max="3322" width="5.28515625" style="71" customWidth="1"/>
    <col min="3323" max="3323" width="43.85546875" style="71" customWidth="1"/>
    <col min="3324" max="3324" width="9" style="71" customWidth="1"/>
    <col min="3325" max="3325" width="7.140625" style="71" customWidth="1"/>
    <col min="3326" max="3326" width="7.5703125" style="71" customWidth="1"/>
    <col min="3327" max="3327" width="7.28515625" style="71" customWidth="1"/>
    <col min="3328" max="3328" width="7.5703125" style="71" customWidth="1"/>
    <col min="3329" max="3329" width="7.42578125" style="71" customWidth="1"/>
    <col min="3330" max="3330" width="7" style="71" customWidth="1"/>
    <col min="3331" max="3331" width="6" style="71" customWidth="1"/>
    <col min="3332" max="3332" width="7.42578125" style="71" customWidth="1"/>
    <col min="3333" max="3333" width="8.42578125" style="71" customWidth="1"/>
    <col min="3334" max="3334" width="7.7109375" style="71" customWidth="1"/>
    <col min="3335" max="3335" width="6.85546875" style="71" customWidth="1"/>
    <col min="3336" max="3577" width="9.140625" style="71"/>
    <col min="3578" max="3578" width="5.28515625" style="71" customWidth="1"/>
    <col min="3579" max="3579" width="43.85546875" style="71" customWidth="1"/>
    <col min="3580" max="3580" width="9" style="71" customWidth="1"/>
    <col min="3581" max="3581" width="7.140625" style="71" customWidth="1"/>
    <col min="3582" max="3582" width="7.5703125" style="71" customWidth="1"/>
    <col min="3583" max="3583" width="7.28515625" style="71" customWidth="1"/>
    <col min="3584" max="3584" width="7.5703125" style="71" customWidth="1"/>
    <col min="3585" max="3585" width="7.42578125" style="71" customWidth="1"/>
    <col min="3586" max="3586" width="7" style="71" customWidth="1"/>
    <col min="3587" max="3587" width="6" style="71" customWidth="1"/>
    <col min="3588" max="3588" width="7.42578125" style="71" customWidth="1"/>
    <col min="3589" max="3589" width="8.42578125" style="71" customWidth="1"/>
    <col min="3590" max="3590" width="7.7109375" style="71" customWidth="1"/>
    <col min="3591" max="3591" width="6.85546875" style="71" customWidth="1"/>
    <col min="3592" max="3833" width="9.140625" style="71"/>
    <col min="3834" max="3834" width="5.28515625" style="71" customWidth="1"/>
    <col min="3835" max="3835" width="43.85546875" style="71" customWidth="1"/>
    <col min="3836" max="3836" width="9" style="71" customWidth="1"/>
    <col min="3837" max="3837" width="7.140625" style="71" customWidth="1"/>
    <col min="3838" max="3838" width="7.5703125" style="71" customWidth="1"/>
    <col min="3839" max="3839" width="7.28515625" style="71" customWidth="1"/>
    <col min="3840" max="3840" width="7.5703125" style="71" customWidth="1"/>
    <col min="3841" max="3841" width="7.42578125" style="71" customWidth="1"/>
    <col min="3842" max="3842" width="7" style="71" customWidth="1"/>
    <col min="3843" max="3843" width="6" style="71" customWidth="1"/>
    <col min="3844" max="3844" width="7.42578125" style="71" customWidth="1"/>
    <col min="3845" max="3845" width="8.42578125" style="71" customWidth="1"/>
    <col min="3846" max="3846" width="7.7109375" style="71" customWidth="1"/>
    <col min="3847" max="3847" width="6.85546875" style="71" customWidth="1"/>
    <col min="3848" max="4089" width="9.140625" style="71"/>
    <col min="4090" max="4090" width="5.28515625" style="71" customWidth="1"/>
    <col min="4091" max="4091" width="43.85546875" style="71" customWidth="1"/>
    <col min="4092" max="4092" width="9" style="71" customWidth="1"/>
    <col min="4093" max="4093" width="7.140625" style="71" customWidth="1"/>
    <col min="4094" max="4094" width="7.5703125" style="71" customWidth="1"/>
    <col min="4095" max="4095" width="7.28515625" style="71" customWidth="1"/>
    <col min="4096" max="4096" width="7.5703125" style="71" customWidth="1"/>
    <col min="4097" max="4097" width="7.42578125" style="71" customWidth="1"/>
    <col min="4098" max="4098" width="7" style="71" customWidth="1"/>
    <col min="4099" max="4099" width="6" style="71" customWidth="1"/>
    <col min="4100" max="4100" width="7.42578125" style="71" customWidth="1"/>
    <col min="4101" max="4101" width="8.42578125" style="71" customWidth="1"/>
    <col min="4102" max="4102" width="7.7109375" style="71" customWidth="1"/>
    <col min="4103" max="4103" width="6.85546875" style="71" customWidth="1"/>
    <col min="4104" max="4345" width="9.140625" style="71"/>
    <col min="4346" max="4346" width="5.28515625" style="71" customWidth="1"/>
    <col min="4347" max="4347" width="43.85546875" style="71" customWidth="1"/>
    <col min="4348" max="4348" width="9" style="71" customWidth="1"/>
    <col min="4349" max="4349" width="7.140625" style="71" customWidth="1"/>
    <col min="4350" max="4350" width="7.5703125" style="71" customWidth="1"/>
    <col min="4351" max="4351" width="7.28515625" style="71" customWidth="1"/>
    <col min="4352" max="4352" width="7.5703125" style="71" customWidth="1"/>
    <col min="4353" max="4353" width="7.42578125" style="71" customWidth="1"/>
    <col min="4354" max="4354" width="7" style="71" customWidth="1"/>
    <col min="4355" max="4355" width="6" style="71" customWidth="1"/>
    <col min="4356" max="4356" width="7.42578125" style="71" customWidth="1"/>
    <col min="4357" max="4357" width="8.42578125" style="71" customWidth="1"/>
    <col min="4358" max="4358" width="7.7109375" style="71" customWidth="1"/>
    <col min="4359" max="4359" width="6.85546875" style="71" customWidth="1"/>
    <col min="4360" max="4601" width="9.140625" style="71"/>
    <col min="4602" max="4602" width="5.28515625" style="71" customWidth="1"/>
    <col min="4603" max="4603" width="43.85546875" style="71" customWidth="1"/>
    <col min="4604" max="4604" width="9" style="71" customWidth="1"/>
    <col min="4605" max="4605" width="7.140625" style="71" customWidth="1"/>
    <col min="4606" max="4606" width="7.5703125" style="71" customWidth="1"/>
    <col min="4607" max="4607" width="7.28515625" style="71" customWidth="1"/>
    <col min="4608" max="4608" width="7.5703125" style="71" customWidth="1"/>
    <col min="4609" max="4609" width="7.42578125" style="71" customWidth="1"/>
    <col min="4610" max="4610" width="7" style="71" customWidth="1"/>
    <col min="4611" max="4611" width="6" style="71" customWidth="1"/>
    <col min="4612" max="4612" width="7.42578125" style="71" customWidth="1"/>
    <col min="4613" max="4613" width="8.42578125" style="71" customWidth="1"/>
    <col min="4614" max="4614" width="7.7109375" style="71" customWidth="1"/>
    <col min="4615" max="4615" width="6.85546875" style="71" customWidth="1"/>
    <col min="4616" max="4857" width="9.140625" style="71"/>
    <col min="4858" max="4858" width="5.28515625" style="71" customWidth="1"/>
    <col min="4859" max="4859" width="43.85546875" style="71" customWidth="1"/>
    <col min="4860" max="4860" width="9" style="71" customWidth="1"/>
    <col min="4861" max="4861" width="7.140625" style="71" customWidth="1"/>
    <col min="4862" max="4862" width="7.5703125" style="71" customWidth="1"/>
    <col min="4863" max="4863" width="7.28515625" style="71" customWidth="1"/>
    <col min="4864" max="4864" width="7.5703125" style="71" customWidth="1"/>
    <col min="4865" max="4865" width="7.42578125" style="71" customWidth="1"/>
    <col min="4866" max="4866" width="7" style="71" customWidth="1"/>
    <col min="4867" max="4867" width="6" style="71" customWidth="1"/>
    <col min="4868" max="4868" width="7.42578125" style="71" customWidth="1"/>
    <col min="4869" max="4869" width="8.42578125" style="71" customWidth="1"/>
    <col min="4870" max="4870" width="7.7109375" style="71" customWidth="1"/>
    <col min="4871" max="4871" width="6.85546875" style="71" customWidth="1"/>
    <col min="4872" max="5113" width="9.140625" style="71"/>
    <col min="5114" max="5114" width="5.28515625" style="71" customWidth="1"/>
    <col min="5115" max="5115" width="43.85546875" style="71" customWidth="1"/>
    <col min="5116" max="5116" width="9" style="71" customWidth="1"/>
    <col min="5117" max="5117" width="7.140625" style="71" customWidth="1"/>
    <col min="5118" max="5118" width="7.5703125" style="71" customWidth="1"/>
    <col min="5119" max="5119" width="7.28515625" style="71" customWidth="1"/>
    <col min="5120" max="5120" width="7.5703125" style="71" customWidth="1"/>
    <col min="5121" max="5121" width="7.42578125" style="71" customWidth="1"/>
    <col min="5122" max="5122" width="7" style="71" customWidth="1"/>
    <col min="5123" max="5123" width="6" style="71" customWidth="1"/>
    <col min="5124" max="5124" width="7.42578125" style="71" customWidth="1"/>
    <col min="5125" max="5125" width="8.42578125" style="71" customWidth="1"/>
    <col min="5126" max="5126" width="7.7109375" style="71" customWidth="1"/>
    <col min="5127" max="5127" width="6.85546875" style="71" customWidth="1"/>
    <col min="5128" max="5369" width="9.140625" style="71"/>
    <col min="5370" max="5370" width="5.28515625" style="71" customWidth="1"/>
    <col min="5371" max="5371" width="43.85546875" style="71" customWidth="1"/>
    <col min="5372" max="5372" width="9" style="71" customWidth="1"/>
    <col min="5373" max="5373" width="7.140625" style="71" customWidth="1"/>
    <col min="5374" max="5374" width="7.5703125" style="71" customWidth="1"/>
    <col min="5375" max="5375" width="7.28515625" style="71" customWidth="1"/>
    <col min="5376" max="5376" width="7.5703125" style="71" customWidth="1"/>
    <col min="5377" max="5377" width="7.42578125" style="71" customWidth="1"/>
    <col min="5378" max="5378" width="7" style="71" customWidth="1"/>
    <col min="5379" max="5379" width="6" style="71" customWidth="1"/>
    <col min="5380" max="5380" width="7.42578125" style="71" customWidth="1"/>
    <col min="5381" max="5381" width="8.42578125" style="71" customWidth="1"/>
    <col min="5382" max="5382" width="7.7109375" style="71" customWidth="1"/>
    <col min="5383" max="5383" width="6.85546875" style="71" customWidth="1"/>
    <col min="5384" max="5625" width="9.140625" style="71"/>
    <col min="5626" max="5626" width="5.28515625" style="71" customWidth="1"/>
    <col min="5627" max="5627" width="43.85546875" style="71" customWidth="1"/>
    <col min="5628" max="5628" width="9" style="71" customWidth="1"/>
    <col min="5629" max="5629" width="7.140625" style="71" customWidth="1"/>
    <col min="5630" max="5630" width="7.5703125" style="71" customWidth="1"/>
    <col min="5631" max="5631" width="7.28515625" style="71" customWidth="1"/>
    <col min="5632" max="5632" width="7.5703125" style="71" customWidth="1"/>
    <col min="5633" max="5633" width="7.42578125" style="71" customWidth="1"/>
    <col min="5634" max="5634" width="7" style="71" customWidth="1"/>
    <col min="5635" max="5635" width="6" style="71" customWidth="1"/>
    <col min="5636" max="5636" width="7.42578125" style="71" customWidth="1"/>
    <col min="5637" max="5637" width="8.42578125" style="71" customWidth="1"/>
    <col min="5638" max="5638" width="7.7109375" style="71" customWidth="1"/>
    <col min="5639" max="5639" width="6.85546875" style="71" customWidth="1"/>
    <col min="5640" max="5881" width="9.140625" style="71"/>
    <col min="5882" max="5882" width="5.28515625" style="71" customWidth="1"/>
    <col min="5883" max="5883" width="43.85546875" style="71" customWidth="1"/>
    <col min="5884" max="5884" width="9" style="71" customWidth="1"/>
    <col min="5885" max="5885" width="7.140625" style="71" customWidth="1"/>
    <col min="5886" max="5886" width="7.5703125" style="71" customWidth="1"/>
    <col min="5887" max="5887" width="7.28515625" style="71" customWidth="1"/>
    <col min="5888" max="5888" width="7.5703125" style="71" customWidth="1"/>
    <col min="5889" max="5889" width="7.42578125" style="71" customWidth="1"/>
    <col min="5890" max="5890" width="7" style="71" customWidth="1"/>
    <col min="5891" max="5891" width="6" style="71" customWidth="1"/>
    <col min="5892" max="5892" width="7.42578125" style="71" customWidth="1"/>
    <col min="5893" max="5893" width="8.42578125" style="71" customWidth="1"/>
    <col min="5894" max="5894" width="7.7109375" style="71" customWidth="1"/>
    <col min="5895" max="5895" width="6.85546875" style="71" customWidth="1"/>
    <col min="5896" max="6137" width="9.140625" style="71"/>
    <col min="6138" max="6138" width="5.28515625" style="71" customWidth="1"/>
    <col min="6139" max="6139" width="43.85546875" style="71" customWidth="1"/>
    <col min="6140" max="6140" width="9" style="71" customWidth="1"/>
    <col min="6141" max="6141" width="7.140625" style="71" customWidth="1"/>
    <col min="6142" max="6142" width="7.5703125" style="71" customWidth="1"/>
    <col min="6143" max="6143" width="7.28515625" style="71" customWidth="1"/>
    <col min="6144" max="6144" width="7.5703125" style="71" customWidth="1"/>
    <col min="6145" max="6145" width="7.42578125" style="71" customWidth="1"/>
    <col min="6146" max="6146" width="7" style="71" customWidth="1"/>
    <col min="6147" max="6147" width="6" style="71" customWidth="1"/>
    <col min="6148" max="6148" width="7.42578125" style="71" customWidth="1"/>
    <col min="6149" max="6149" width="8.42578125" style="71" customWidth="1"/>
    <col min="6150" max="6150" width="7.7109375" style="71" customWidth="1"/>
    <col min="6151" max="6151" width="6.85546875" style="71" customWidth="1"/>
    <col min="6152" max="6393" width="9.140625" style="71"/>
    <col min="6394" max="6394" width="5.28515625" style="71" customWidth="1"/>
    <col min="6395" max="6395" width="43.85546875" style="71" customWidth="1"/>
    <col min="6396" max="6396" width="9" style="71" customWidth="1"/>
    <col min="6397" max="6397" width="7.140625" style="71" customWidth="1"/>
    <col min="6398" max="6398" width="7.5703125" style="71" customWidth="1"/>
    <col min="6399" max="6399" width="7.28515625" style="71" customWidth="1"/>
    <col min="6400" max="6400" width="7.5703125" style="71" customWidth="1"/>
    <col min="6401" max="6401" width="7.42578125" style="71" customWidth="1"/>
    <col min="6402" max="6402" width="7" style="71" customWidth="1"/>
    <col min="6403" max="6403" width="6" style="71" customWidth="1"/>
    <col min="6404" max="6404" width="7.42578125" style="71" customWidth="1"/>
    <col min="6405" max="6405" width="8.42578125" style="71" customWidth="1"/>
    <col min="6406" max="6406" width="7.7109375" style="71" customWidth="1"/>
    <col min="6407" max="6407" width="6.85546875" style="71" customWidth="1"/>
    <col min="6408" max="6649" width="9.140625" style="71"/>
    <col min="6650" max="6650" width="5.28515625" style="71" customWidth="1"/>
    <col min="6651" max="6651" width="43.85546875" style="71" customWidth="1"/>
    <col min="6652" max="6652" width="9" style="71" customWidth="1"/>
    <col min="6653" max="6653" width="7.140625" style="71" customWidth="1"/>
    <col min="6654" max="6654" width="7.5703125" style="71" customWidth="1"/>
    <col min="6655" max="6655" width="7.28515625" style="71" customWidth="1"/>
    <col min="6656" max="6656" width="7.5703125" style="71" customWidth="1"/>
    <col min="6657" max="6657" width="7.42578125" style="71" customWidth="1"/>
    <col min="6658" max="6658" width="7" style="71" customWidth="1"/>
    <col min="6659" max="6659" width="6" style="71" customWidth="1"/>
    <col min="6660" max="6660" width="7.42578125" style="71" customWidth="1"/>
    <col min="6661" max="6661" width="8.42578125" style="71" customWidth="1"/>
    <col min="6662" max="6662" width="7.7109375" style="71" customWidth="1"/>
    <col min="6663" max="6663" width="6.85546875" style="71" customWidth="1"/>
    <col min="6664" max="6905" width="9.140625" style="71"/>
    <col min="6906" max="6906" width="5.28515625" style="71" customWidth="1"/>
    <col min="6907" max="6907" width="43.85546875" style="71" customWidth="1"/>
    <col min="6908" max="6908" width="9" style="71" customWidth="1"/>
    <col min="6909" max="6909" width="7.140625" style="71" customWidth="1"/>
    <col min="6910" max="6910" width="7.5703125" style="71" customWidth="1"/>
    <col min="6911" max="6911" width="7.28515625" style="71" customWidth="1"/>
    <col min="6912" max="6912" width="7.5703125" style="71" customWidth="1"/>
    <col min="6913" max="6913" width="7.42578125" style="71" customWidth="1"/>
    <col min="6914" max="6914" width="7" style="71" customWidth="1"/>
    <col min="6915" max="6915" width="6" style="71" customWidth="1"/>
    <col min="6916" max="6916" width="7.42578125" style="71" customWidth="1"/>
    <col min="6917" max="6917" width="8.42578125" style="71" customWidth="1"/>
    <col min="6918" max="6918" width="7.7109375" style="71" customWidth="1"/>
    <col min="6919" max="6919" width="6.85546875" style="71" customWidth="1"/>
    <col min="6920" max="7161" width="9.140625" style="71"/>
    <col min="7162" max="7162" width="5.28515625" style="71" customWidth="1"/>
    <col min="7163" max="7163" width="43.85546875" style="71" customWidth="1"/>
    <col min="7164" max="7164" width="9" style="71" customWidth="1"/>
    <col min="7165" max="7165" width="7.140625" style="71" customWidth="1"/>
    <col min="7166" max="7166" width="7.5703125" style="71" customWidth="1"/>
    <col min="7167" max="7167" width="7.28515625" style="71" customWidth="1"/>
    <col min="7168" max="7168" width="7.5703125" style="71" customWidth="1"/>
    <col min="7169" max="7169" width="7.42578125" style="71" customWidth="1"/>
    <col min="7170" max="7170" width="7" style="71" customWidth="1"/>
    <col min="7171" max="7171" width="6" style="71" customWidth="1"/>
    <col min="7172" max="7172" width="7.42578125" style="71" customWidth="1"/>
    <col min="7173" max="7173" width="8.42578125" style="71" customWidth="1"/>
    <col min="7174" max="7174" width="7.7109375" style="71" customWidth="1"/>
    <col min="7175" max="7175" width="6.85546875" style="71" customWidth="1"/>
    <col min="7176" max="7417" width="9.140625" style="71"/>
    <col min="7418" max="7418" width="5.28515625" style="71" customWidth="1"/>
    <col min="7419" max="7419" width="43.85546875" style="71" customWidth="1"/>
    <col min="7420" max="7420" width="9" style="71" customWidth="1"/>
    <col min="7421" max="7421" width="7.140625" style="71" customWidth="1"/>
    <col min="7422" max="7422" width="7.5703125" style="71" customWidth="1"/>
    <col min="7423" max="7423" width="7.28515625" style="71" customWidth="1"/>
    <col min="7424" max="7424" width="7.5703125" style="71" customWidth="1"/>
    <col min="7425" max="7425" width="7.42578125" style="71" customWidth="1"/>
    <col min="7426" max="7426" width="7" style="71" customWidth="1"/>
    <col min="7427" max="7427" width="6" style="71" customWidth="1"/>
    <col min="7428" max="7428" width="7.42578125" style="71" customWidth="1"/>
    <col min="7429" max="7429" width="8.42578125" style="71" customWidth="1"/>
    <col min="7430" max="7430" width="7.7109375" style="71" customWidth="1"/>
    <col min="7431" max="7431" width="6.85546875" style="71" customWidth="1"/>
    <col min="7432" max="7673" width="9.140625" style="71"/>
    <col min="7674" max="7674" width="5.28515625" style="71" customWidth="1"/>
    <col min="7675" max="7675" width="43.85546875" style="71" customWidth="1"/>
    <col min="7676" max="7676" width="9" style="71" customWidth="1"/>
    <col min="7677" max="7677" width="7.140625" style="71" customWidth="1"/>
    <col min="7678" max="7678" width="7.5703125" style="71" customWidth="1"/>
    <col min="7679" max="7679" width="7.28515625" style="71" customWidth="1"/>
    <col min="7680" max="7680" width="7.5703125" style="71" customWidth="1"/>
    <col min="7681" max="7681" width="7.42578125" style="71" customWidth="1"/>
    <col min="7682" max="7682" width="7" style="71" customWidth="1"/>
    <col min="7683" max="7683" width="6" style="71" customWidth="1"/>
    <col min="7684" max="7684" width="7.42578125" style="71" customWidth="1"/>
    <col min="7685" max="7685" width="8.42578125" style="71" customWidth="1"/>
    <col min="7686" max="7686" width="7.7109375" style="71" customWidth="1"/>
    <col min="7687" max="7687" width="6.85546875" style="71" customWidth="1"/>
    <col min="7688" max="7929" width="9.140625" style="71"/>
    <col min="7930" max="7930" width="5.28515625" style="71" customWidth="1"/>
    <col min="7931" max="7931" width="43.85546875" style="71" customWidth="1"/>
    <col min="7932" max="7932" width="9" style="71" customWidth="1"/>
    <col min="7933" max="7933" width="7.140625" style="71" customWidth="1"/>
    <col min="7934" max="7934" width="7.5703125" style="71" customWidth="1"/>
    <col min="7935" max="7935" width="7.28515625" style="71" customWidth="1"/>
    <col min="7936" max="7936" width="7.5703125" style="71" customWidth="1"/>
    <col min="7937" max="7937" width="7.42578125" style="71" customWidth="1"/>
    <col min="7938" max="7938" width="7" style="71" customWidth="1"/>
    <col min="7939" max="7939" width="6" style="71" customWidth="1"/>
    <col min="7940" max="7940" width="7.42578125" style="71" customWidth="1"/>
    <col min="7941" max="7941" width="8.42578125" style="71" customWidth="1"/>
    <col min="7942" max="7942" width="7.7109375" style="71" customWidth="1"/>
    <col min="7943" max="7943" width="6.85546875" style="71" customWidth="1"/>
    <col min="7944" max="8185" width="9.140625" style="71"/>
    <col min="8186" max="8186" width="5.28515625" style="71" customWidth="1"/>
    <col min="8187" max="8187" width="43.85546875" style="71" customWidth="1"/>
    <col min="8188" max="8188" width="9" style="71" customWidth="1"/>
    <col min="8189" max="8189" width="7.140625" style="71" customWidth="1"/>
    <col min="8190" max="8190" width="7.5703125" style="71" customWidth="1"/>
    <col min="8191" max="8191" width="7.28515625" style="71" customWidth="1"/>
    <col min="8192" max="8192" width="7.5703125" style="71" customWidth="1"/>
    <col min="8193" max="8193" width="7.42578125" style="71" customWidth="1"/>
    <col min="8194" max="8194" width="7" style="71" customWidth="1"/>
    <col min="8195" max="8195" width="6" style="71" customWidth="1"/>
    <col min="8196" max="8196" width="7.42578125" style="71" customWidth="1"/>
    <col min="8197" max="8197" width="8.42578125" style="71" customWidth="1"/>
    <col min="8198" max="8198" width="7.7109375" style="71" customWidth="1"/>
    <col min="8199" max="8199" width="6.85546875" style="71" customWidth="1"/>
    <col min="8200" max="8441" width="9.140625" style="71"/>
    <col min="8442" max="8442" width="5.28515625" style="71" customWidth="1"/>
    <col min="8443" max="8443" width="43.85546875" style="71" customWidth="1"/>
    <col min="8444" max="8444" width="9" style="71" customWidth="1"/>
    <col min="8445" max="8445" width="7.140625" style="71" customWidth="1"/>
    <col min="8446" max="8446" width="7.5703125" style="71" customWidth="1"/>
    <col min="8447" max="8447" width="7.28515625" style="71" customWidth="1"/>
    <col min="8448" max="8448" width="7.5703125" style="71" customWidth="1"/>
    <col min="8449" max="8449" width="7.42578125" style="71" customWidth="1"/>
    <col min="8450" max="8450" width="7" style="71" customWidth="1"/>
    <col min="8451" max="8451" width="6" style="71" customWidth="1"/>
    <col min="8452" max="8452" width="7.42578125" style="71" customWidth="1"/>
    <col min="8453" max="8453" width="8.42578125" style="71" customWidth="1"/>
    <col min="8454" max="8454" width="7.7109375" style="71" customWidth="1"/>
    <col min="8455" max="8455" width="6.85546875" style="71" customWidth="1"/>
    <col min="8456" max="8697" width="9.140625" style="71"/>
    <col min="8698" max="8698" width="5.28515625" style="71" customWidth="1"/>
    <col min="8699" max="8699" width="43.85546875" style="71" customWidth="1"/>
    <col min="8700" max="8700" width="9" style="71" customWidth="1"/>
    <col min="8701" max="8701" width="7.140625" style="71" customWidth="1"/>
    <col min="8702" max="8702" width="7.5703125" style="71" customWidth="1"/>
    <col min="8703" max="8703" width="7.28515625" style="71" customWidth="1"/>
    <col min="8704" max="8704" width="7.5703125" style="71" customWidth="1"/>
    <col min="8705" max="8705" width="7.42578125" style="71" customWidth="1"/>
    <col min="8706" max="8706" width="7" style="71" customWidth="1"/>
    <col min="8707" max="8707" width="6" style="71" customWidth="1"/>
    <col min="8708" max="8708" width="7.42578125" style="71" customWidth="1"/>
    <col min="8709" max="8709" width="8.42578125" style="71" customWidth="1"/>
    <col min="8710" max="8710" width="7.7109375" style="71" customWidth="1"/>
    <col min="8711" max="8711" width="6.85546875" style="71" customWidth="1"/>
    <col min="8712" max="8953" width="9.140625" style="71"/>
    <col min="8954" max="8954" width="5.28515625" style="71" customWidth="1"/>
    <col min="8955" max="8955" width="43.85546875" style="71" customWidth="1"/>
    <col min="8956" max="8956" width="9" style="71" customWidth="1"/>
    <col min="8957" max="8957" width="7.140625" style="71" customWidth="1"/>
    <col min="8958" max="8958" width="7.5703125" style="71" customWidth="1"/>
    <col min="8959" max="8959" width="7.28515625" style="71" customWidth="1"/>
    <col min="8960" max="8960" width="7.5703125" style="71" customWidth="1"/>
    <col min="8961" max="8961" width="7.42578125" style="71" customWidth="1"/>
    <col min="8962" max="8962" width="7" style="71" customWidth="1"/>
    <col min="8963" max="8963" width="6" style="71" customWidth="1"/>
    <col min="8964" max="8964" width="7.42578125" style="71" customWidth="1"/>
    <col min="8965" max="8965" width="8.42578125" style="71" customWidth="1"/>
    <col min="8966" max="8966" width="7.7109375" style="71" customWidth="1"/>
    <col min="8967" max="8967" width="6.85546875" style="71" customWidth="1"/>
    <col min="8968" max="9209" width="9.140625" style="71"/>
    <col min="9210" max="9210" width="5.28515625" style="71" customWidth="1"/>
    <col min="9211" max="9211" width="43.85546875" style="71" customWidth="1"/>
    <col min="9212" max="9212" width="9" style="71" customWidth="1"/>
    <col min="9213" max="9213" width="7.140625" style="71" customWidth="1"/>
    <col min="9214" max="9214" width="7.5703125" style="71" customWidth="1"/>
    <col min="9215" max="9215" width="7.28515625" style="71" customWidth="1"/>
    <col min="9216" max="9216" width="7.5703125" style="71" customWidth="1"/>
    <col min="9217" max="9217" width="7.42578125" style="71" customWidth="1"/>
    <col min="9218" max="9218" width="7" style="71" customWidth="1"/>
    <col min="9219" max="9219" width="6" style="71" customWidth="1"/>
    <col min="9220" max="9220" width="7.42578125" style="71" customWidth="1"/>
    <col min="9221" max="9221" width="8.42578125" style="71" customWidth="1"/>
    <col min="9222" max="9222" width="7.7109375" style="71" customWidth="1"/>
    <col min="9223" max="9223" width="6.85546875" style="71" customWidth="1"/>
    <col min="9224" max="9465" width="9.140625" style="71"/>
    <col min="9466" max="9466" width="5.28515625" style="71" customWidth="1"/>
    <col min="9467" max="9467" width="43.85546875" style="71" customWidth="1"/>
    <col min="9468" max="9468" width="9" style="71" customWidth="1"/>
    <col min="9469" max="9469" width="7.140625" style="71" customWidth="1"/>
    <col min="9470" max="9470" width="7.5703125" style="71" customWidth="1"/>
    <col min="9471" max="9471" width="7.28515625" style="71" customWidth="1"/>
    <col min="9472" max="9472" width="7.5703125" style="71" customWidth="1"/>
    <col min="9473" max="9473" width="7.42578125" style="71" customWidth="1"/>
    <col min="9474" max="9474" width="7" style="71" customWidth="1"/>
    <col min="9475" max="9475" width="6" style="71" customWidth="1"/>
    <col min="9476" max="9476" width="7.42578125" style="71" customWidth="1"/>
    <col min="9477" max="9477" width="8.42578125" style="71" customWidth="1"/>
    <col min="9478" max="9478" width="7.7109375" style="71" customWidth="1"/>
    <col min="9479" max="9479" width="6.85546875" style="71" customWidth="1"/>
    <col min="9480" max="9721" width="9.140625" style="71"/>
    <col min="9722" max="9722" width="5.28515625" style="71" customWidth="1"/>
    <col min="9723" max="9723" width="43.85546875" style="71" customWidth="1"/>
    <col min="9724" max="9724" width="9" style="71" customWidth="1"/>
    <col min="9725" max="9725" width="7.140625" style="71" customWidth="1"/>
    <col min="9726" max="9726" width="7.5703125" style="71" customWidth="1"/>
    <col min="9727" max="9727" width="7.28515625" style="71" customWidth="1"/>
    <col min="9728" max="9728" width="7.5703125" style="71" customWidth="1"/>
    <col min="9729" max="9729" width="7.42578125" style="71" customWidth="1"/>
    <col min="9730" max="9730" width="7" style="71" customWidth="1"/>
    <col min="9731" max="9731" width="6" style="71" customWidth="1"/>
    <col min="9732" max="9732" width="7.42578125" style="71" customWidth="1"/>
    <col min="9733" max="9733" width="8.42578125" style="71" customWidth="1"/>
    <col min="9734" max="9734" width="7.7109375" style="71" customWidth="1"/>
    <col min="9735" max="9735" width="6.85546875" style="71" customWidth="1"/>
    <col min="9736" max="9977" width="9.140625" style="71"/>
    <col min="9978" max="9978" width="5.28515625" style="71" customWidth="1"/>
    <col min="9979" max="9979" width="43.85546875" style="71" customWidth="1"/>
    <col min="9980" max="9980" width="9" style="71" customWidth="1"/>
    <col min="9981" max="9981" width="7.140625" style="71" customWidth="1"/>
    <col min="9982" max="9982" width="7.5703125" style="71" customWidth="1"/>
    <col min="9983" max="9983" width="7.28515625" style="71" customWidth="1"/>
    <col min="9984" max="9984" width="7.5703125" style="71" customWidth="1"/>
    <col min="9985" max="9985" width="7.42578125" style="71" customWidth="1"/>
    <col min="9986" max="9986" width="7" style="71" customWidth="1"/>
    <col min="9987" max="9987" width="6" style="71" customWidth="1"/>
    <col min="9988" max="9988" width="7.42578125" style="71" customWidth="1"/>
    <col min="9989" max="9989" width="8.42578125" style="71" customWidth="1"/>
    <col min="9990" max="9990" width="7.7109375" style="71" customWidth="1"/>
    <col min="9991" max="9991" width="6.85546875" style="71" customWidth="1"/>
    <col min="9992" max="10233" width="9.140625" style="71"/>
    <col min="10234" max="10234" width="5.28515625" style="71" customWidth="1"/>
    <col min="10235" max="10235" width="43.85546875" style="71" customWidth="1"/>
    <col min="10236" max="10236" width="9" style="71" customWidth="1"/>
    <col min="10237" max="10237" width="7.140625" style="71" customWidth="1"/>
    <col min="10238" max="10238" width="7.5703125" style="71" customWidth="1"/>
    <col min="10239" max="10239" width="7.28515625" style="71" customWidth="1"/>
    <col min="10240" max="10240" width="7.5703125" style="71" customWidth="1"/>
    <col min="10241" max="10241" width="7.42578125" style="71" customWidth="1"/>
    <col min="10242" max="10242" width="7" style="71" customWidth="1"/>
    <col min="10243" max="10243" width="6" style="71" customWidth="1"/>
    <col min="10244" max="10244" width="7.42578125" style="71" customWidth="1"/>
    <col min="10245" max="10245" width="8.42578125" style="71" customWidth="1"/>
    <col min="10246" max="10246" width="7.7109375" style="71" customWidth="1"/>
    <col min="10247" max="10247" width="6.85546875" style="71" customWidth="1"/>
    <col min="10248" max="10489" width="9.140625" style="71"/>
    <col min="10490" max="10490" width="5.28515625" style="71" customWidth="1"/>
    <col min="10491" max="10491" width="43.85546875" style="71" customWidth="1"/>
    <col min="10492" max="10492" width="9" style="71" customWidth="1"/>
    <col min="10493" max="10493" width="7.140625" style="71" customWidth="1"/>
    <col min="10494" max="10494" width="7.5703125" style="71" customWidth="1"/>
    <col min="10495" max="10495" width="7.28515625" style="71" customWidth="1"/>
    <col min="10496" max="10496" width="7.5703125" style="71" customWidth="1"/>
    <col min="10497" max="10497" width="7.42578125" style="71" customWidth="1"/>
    <col min="10498" max="10498" width="7" style="71" customWidth="1"/>
    <col min="10499" max="10499" width="6" style="71" customWidth="1"/>
    <col min="10500" max="10500" width="7.42578125" style="71" customWidth="1"/>
    <col min="10501" max="10501" width="8.42578125" style="71" customWidth="1"/>
    <col min="10502" max="10502" width="7.7109375" style="71" customWidth="1"/>
    <col min="10503" max="10503" width="6.85546875" style="71" customWidth="1"/>
    <col min="10504" max="10745" width="9.140625" style="71"/>
    <col min="10746" max="10746" width="5.28515625" style="71" customWidth="1"/>
    <col min="10747" max="10747" width="43.85546875" style="71" customWidth="1"/>
    <col min="10748" max="10748" width="9" style="71" customWidth="1"/>
    <col min="10749" max="10749" width="7.140625" style="71" customWidth="1"/>
    <col min="10750" max="10750" width="7.5703125" style="71" customWidth="1"/>
    <col min="10751" max="10751" width="7.28515625" style="71" customWidth="1"/>
    <col min="10752" max="10752" width="7.5703125" style="71" customWidth="1"/>
    <col min="10753" max="10753" width="7.42578125" style="71" customWidth="1"/>
    <col min="10754" max="10754" width="7" style="71" customWidth="1"/>
    <col min="10755" max="10755" width="6" style="71" customWidth="1"/>
    <col min="10756" max="10756" width="7.42578125" style="71" customWidth="1"/>
    <col min="10757" max="10757" width="8.42578125" style="71" customWidth="1"/>
    <col min="10758" max="10758" width="7.7109375" style="71" customWidth="1"/>
    <col min="10759" max="10759" width="6.85546875" style="71" customWidth="1"/>
    <col min="10760" max="11001" width="9.140625" style="71"/>
    <col min="11002" max="11002" width="5.28515625" style="71" customWidth="1"/>
    <col min="11003" max="11003" width="43.85546875" style="71" customWidth="1"/>
    <col min="11004" max="11004" width="9" style="71" customWidth="1"/>
    <col min="11005" max="11005" width="7.140625" style="71" customWidth="1"/>
    <col min="11006" max="11006" width="7.5703125" style="71" customWidth="1"/>
    <col min="11007" max="11007" width="7.28515625" style="71" customWidth="1"/>
    <col min="11008" max="11008" width="7.5703125" style="71" customWidth="1"/>
    <col min="11009" max="11009" width="7.42578125" style="71" customWidth="1"/>
    <col min="11010" max="11010" width="7" style="71" customWidth="1"/>
    <col min="11011" max="11011" width="6" style="71" customWidth="1"/>
    <col min="11012" max="11012" width="7.42578125" style="71" customWidth="1"/>
    <col min="11013" max="11013" width="8.42578125" style="71" customWidth="1"/>
    <col min="11014" max="11014" width="7.7109375" style="71" customWidth="1"/>
    <col min="11015" max="11015" width="6.85546875" style="71" customWidth="1"/>
    <col min="11016" max="11257" width="9.140625" style="71"/>
    <col min="11258" max="11258" width="5.28515625" style="71" customWidth="1"/>
    <col min="11259" max="11259" width="43.85546875" style="71" customWidth="1"/>
    <col min="11260" max="11260" width="9" style="71" customWidth="1"/>
    <col min="11261" max="11261" width="7.140625" style="71" customWidth="1"/>
    <col min="11262" max="11262" width="7.5703125" style="71" customWidth="1"/>
    <col min="11263" max="11263" width="7.28515625" style="71" customWidth="1"/>
    <col min="11264" max="11264" width="7.5703125" style="71" customWidth="1"/>
    <col min="11265" max="11265" width="7.42578125" style="71" customWidth="1"/>
    <col min="11266" max="11266" width="7" style="71" customWidth="1"/>
    <col min="11267" max="11267" width="6" style="71" customWidth="1"/>
    <col min="11268" max="11268" width="7.42578125" style="71" customWidth="1"/>
    <col min="11269" max="11269" width="8.42578125" style="71" customWidth="1"/>
    <col min="11270" max="11270" width="7.7109375" style="71" customWidth="1"/>
    <col min="11271" max="11271" width="6.85546875" style="71" customWidth="1"/>
    <col min="11272" max="11513" width="9.140625" style="71"/>
    <col min="11514" max="11514" width="5.28515625" style="71" customWidth="1"/>
    <col min="11515" max="11515" width="43.85546875" style="71" customWidth="1"/>
    <col min="11516" max="11516" width="9" style="71" customWidth="1"/>
    <col min="11517" max="11517" width="7.140625" style="71" customWidth="1"/>
    <col min="11518" max="11518" width="7.5703125" style="71" customWidth="1"/>
    <col min="11519" max="11519" width="7.28515625" style="71" customWidth="1"/>
    <col min="11520" max="11520" width="7.5703125" style="71" customWidth="1"/>
    <col min="11521" max="11521" width="7.42578125" style="71" customWidth="1"/>
    <col min="11522" max="11522" width="7" style="71" customWidth="1"/>
    <col min="11523" max="11523" width="6" style="71" customWidth="1"/>
    <col min="11524" max="11524" width="7.42578125" style="71" customWidth="1"/>
    <col min="11525" max="11525" width="8.42578125" style="71" customWidth="1"/>
    <col min="11526" max="11526" width="7.7109375" style="71" customWidth="1"/>
    <col min="11527" max="11527" width="6.85546875" style="71" customWidth="1"/>
    <col min="11528" max="11769" width="9.140625" style="71"/>
    <col min="11770" max="11770" width="5.28515625" style="71" customWidth="1"/>
    <col min="11771" max="11771" width="43.85546875" style="71" customWidth="1"/>
    <col min="11772" max="11772" width="9" style="71" customWidth="1"/>
    <col min="11773" max="11773" width="7.140625" style="71" customWidth="1"/>
    <col min="11774" max="11774" width="7.5703125" style="71" customWidth="1"/>
    <col min="11775" max="11775" width="7.28515625" style="71" customWidth="1"/>
    <col min="11776" max="11776" width="7.5703125" style="71" customWidth="1"/>
    <col min="11777" max="11777" width="7.42578125" style="71" customWidth="1"/>
    <col min="11778" max="11778" width="7" style="71" customWidth="1"/>
    <col min="11779" max="11779" width="6" style="71" customWidth="1"/>
    <col min="11780" max="11780" width="7.42578125" style="71" customWidth="1"/>
    <col min="11781" max="11781" width="8.42578125" style="71" customWidth="1"/>
    <col min="11782" max="11782" width="7.7109375" style="71" customWidth="1"/>
    <col min="11783" max="11783" width="6.85546875" style="71" customWidth="1"/>
    <col min="11784" max="12025" width="9.140625" style="71"/>
    <col min="12026" max="12026" width="5.28515625" style="71" customWidth="1"/>
    <col min="12027" max="12027" width="43.85546875" style="71" customWidth="1"/>
    <col min="12028" max="12028" width="9" style="71" customWidth="1"/>
    <col min="12029" max="12029" width="7.140625" style="71" customWidth="1"/>
    <col min="12030" max="12030" width="7.5703125" style="71" customWidth="1"/>
    <col min="12031" max="12031" width="7.28515625" style="71" customWidth="1"/>
    <col min="12032" max="12032" width="7.5703125" style="71" customWidth="1"/>
    <col min="12033" max="12033" width="7.42578125" style="71" customWidth="1"/>
    <col min="12034" max="12034" width="7" style="71" customWidth="1"/>
    <col min="12035" max="12035" width="6" style="71" customWidth="1"/>
    <col min="12036" max="12036" width="7.42578125" style="71" customWidth="1"/>
    <col min="12037" max="12037" width="8.42578125" style="71" customWidth="1"/>
    <col min="12038" max="12038" width="7.7109375" style="71" customWidth="1"/>
    <col min="12039" max="12039" width="6.85546875" style="71" customWidth="1"/>
    <col min="12040" max="12281" width="9.140625" style="71"/>
    <col min="12282" max="12282" width="5.28515625" style="71" customWidth="1"/>
    <col min="12283" max="12283" width="43.85546875" style="71" customWidth="1"/>
    <col min="12284" max="12284" width="9" style="71" customWidth="1"/>
    <col min="12285" max="12285" width="7.140625" style="71" customWidth="1"/>
    <col min="12286" max="12286" width="7.5703125" style="71" customWidth="1"/>
    <col min="12287" max="12287" width="7.28515625" style="71" customWidth="1"/>
    <col min="12288" max="12288" width="7.5703125" style="71" customWidth="1"/>
    <col min="12289" max="12289" width="7.42578125" style="71" customWidth="1"/>
    <col min="12290" max="12290" width="7" style="71" customWidth="1"/>
    <col min="12291" max="12291" width="6" style="71" customWidth="1"/>
    <col min="12292" max="12292" width="7.42578125" style="71" customWidth="1"/>
    <col min="12293" max="12293" width="8.42578125" style="71" customWidth="1"/>
    <col min="12294" max="12294" width="7.7109375" style="71" customWidth="1"/>
    <col min="12295" max="12295" width="6.85546875" style="71" customWidth="1"/>
    <col min="12296" max="12537" width="9.140625" style="71"/>
    <col min="12538" max="12538" width="5.28515625" style="71" customWidth="1"/>
    <col min="12539" max="12539" width="43.85546875" style="71" customWidth="1"/>
    <col min="12540" max="12540" width="9" style="71" customWidth="1"/>
    <col min="12541" max="12541" width="7.140625" style="71" customWidth="1"/>
    <col min="12542" max="12542" width="7.5703125" style="71" customWidth="1"/>
    <col min="12543" max="12543" width="7.28515625" style="71" customWidth="1"/>
    <col min="12544" max="12544" width="7.5703125" style="71" customWidth="1"/>
    <col min="12545" max="12545" width="7.42578125" style="71" customWidth="1"/>
    <col min="12546" max="12546" width="7" style="71" customWidth="1"/>
    <col min="12547" max="12547" width="6" style="71" customWidth="1"/>
    <col min="12548" max="12548" width="7.42578125" style="71" customWidth="1"/>
    <col min="12549" max="12549" width="8.42578125" style="71" customWidth="1"/>
    <col min="12550" max="12550" width="7.7109375" style="71" customWidth="1"/>
    <col min="12551" max="12551" width="6.85546875" style="71" customWidth="1"/>
    <col min="12552" max="12793" width="9.140625" style="71"/>
    <col min="12794" max="12794" width="5.28515625" style="71" customWidth="1"/>
    <col min="12795" max="12795" width="43.85546875" style="71" customWidth="1"/>
    <col min="12796" max="12796" width="9" style="71" customWidth="1"/>
    <col min="12797" max="12797" width="7.140625" style="71" customWidth="1"/>
    <col min="12798" max="12798" width="7.5703125" style="71" customWidth="1"/>
    <col min="12799" max="12799" width="7.28515625" style="71" customWidth="1"/>
    <col min="12800" max="12800" width="7.5703125" style="71" customWidth="1"/>
    <col min="12801" max="12801" width="7.42578125" style="71" customWidth="1"/>
    <col min="12802" max="12802" width="7" style="71" customWidth="1"/>
    <col min="12803" max="12803" width="6" style="71" customWidth="1"/>
    <col min="12804" max="12804" width="7.42578125" style="71" customWidth="1"/>
    <col min="12805" max="12805" width="8.42578125" style="71" customWidth="1"/>
    <col min="12806" max="12806" width="7.7109375" style="71" customWidth="1"/>
    <col min="12807" max="12807" width="6.85546875" style="71" customWidth="1"/>
    <col min="12808" max="13049" width="9.140625" style="71"/>
    <col min="13050" max="13050" width="5.28515625" style="71" customWidth="1"/>
    <col min="13051" max="13051" width="43.85546875" style="71" customWidth="1"/>
    <col min="13052" max="13052" width="9" style="71" customWidth="1"/>
    <col min="13053" max="13053" width="7.140625" style="71" customWidth="1"/>
    <col min="13054" max="13054" width="7.5703125" style="71" customWidth="1"/>
    <col min="13055" max="13055" width="7.28515625" style="71" customWidth="1"/>
    <col min="13056" max="13056" width="7.5703125" style="71" customWidth="1"/>
    <col min="13057" max="13057" width="7.42578125" style="71" customWidth="1"/>
    <col min="13058" max="13058" width="7" style="71" customWidth="1"/>
    <col min="13059" max="13059" width="6" style="71" customWidth="1"/>
    <col min="13060" max="13060" width="7.42578125" style="71" customWidth="1"/>
    <col min="13061" max="13061" width="8.42578125" style="71" customWidth="1"/>
    <col min="13062" max="13062" width="7.7109375" style="71" customWidth="1"/>
    <col min="13063" max="13063" width="6.85546875" style="71" customWidth="1"/>
    <col min="13064" max="13305" width="9.140625" style="71"/>
    <col min="13306" max="13306" width="5.28515625" style="71" customWidth="1"/>
    <col min="13307" max="13307" width="43.85546875" style="71" customWidth="1"/>
    <col min="13308" max="13308" width="9" style="71" customWidth="1"/>
    <col min="13309" max="13309" width="7.140625" style="71" customWidth="1"/>
    <col min="13310" max="13310" width="7.5703125" style="71" customWidth="1"/>
    <col min="13311" max="13311" width="7.28515625" style="71" customWidth="1"/>
    <col min="13312" max="13312" width="7.5703125" style="71" customWidth="1"/>
    <col min="13313" max="13313" width="7.42578125" style="71" customWidth="1"/>
    <col min="13314" max="13314" width="7" style="71" customWidth="1"/>
    <col min="13315" max="13315" width="6" style="71" customWidth="1"/>
    <col min="13316" max="13316" width="7.42578125" style="71" customWidth="1"/>
    <col min="13317" max="13317" width="8.42578125" style="71" customWidth="1"/>
    <col min="13318" max="13318" width="7.7109375" style="71" customWidth="1"/>
    <col min="13319" max="13319" width="6.85546875" style="71" customWidth="1"/>
    <col min="13320" max="13561" width="9.140625" style="71"/>
    <col min="13562" max="13562" width="5.28515625" style="71" customWidth="1"/>
    <col min="13563" max="13563" width="43.85546875" style="71" customWidth="1"/>
    <col min="13564" max="13564" width="9" style="71" customWidth="1"/>
    <col min="13565" max="13565" width="7.140625" style="71" customWidth="1"/>
    <col min="13566" max="13566" width="7.5703125" style="71" customWidth="1"/>
    <col min="13567" max="13567" width="7.28515625" style="71" customWidth="1"/>
    <col min="13568" max="13568" width="7.5703125" style="71" customWidth="1"/>
    <col min="13569" max="13569" width="7.42578125" style="71" customWidth="1"/>
    <col min="13570" max="13570" width="7" style="71" customWidth="1"/>
    <col min="13571" max="13571" width="6" style="71" customWidth="1"/>
    <col min="13572" max="13572" width="7.42578125" style="71" customWidth="1"/>
    <col min="13573" max="13573" width="8.42578125" style="71" customWidth="1"/>
    <col min="13574" max="13574" width="7.7109375" style="71" customWidth="1"/>
    <col min="13575" max="13575" width="6.85546875" style="71" customWidth="1"/>
    <col min="13576" max="13817" width="9.140625" style="71"/>
    <col min="13818" max="13818" width="5.28515625" style="71" customWidth="1"/>
    <col min="13819" max="13819" width="43.85546875" style="71" customWidth="1"/>
    <col min="13820" max="13820" width="9" style="71" customWidth="1"/>
    <col min="13821" max="13821" width="7.140625" style="71" customWidth="1"/>
    <col min="13822" max="13822" width="7.5703125" style="71" customWidth="1"/>
    <col min="13823" max="13823" width="7.28515625" style="71" customWidth="1"/>
    <col min="13824" max="13824" width="7.5703125" style="71" customWidth="1"/>
    <col min="13825" max="13825" width="7.42578125" style="71" customWidth="1"/>
    <col min="13826" max="13826" width="7" style="71" customWidth="1"/>
    <col min="13827" max="13827" width="6" style="71" customWidth="1"/>
    <col min="13828" max="13828" width="7.42578125" style="71" customWidth="1"/>
    <col min="13829" max="13829" width="8.42578125" style="71" customWidth="1"/>
    <col min="13830" max="13830" width="7.7109375" style="71" customWidth="1"/>
    <col min="13831" max="13831" width="6.85546875" style="71" customWidth="1"/>
    <col min="13832" max="14073" width="9.140625" style="71"/>
    <col min="14074" max="14074" width="5.28515625" style="71" customWidth="1"/>
    <col min="14075" max="14075" width="43.85546875" style="71" customWidth="1"/>
    <col min="14076" max="14076" width="9" style="71" customWidth="1"/>
    <col min="14077" max="14077" width="7.140625" style="71" customWidth="1"/>
    <col min="14078" max="14078" width="7.5703125" style="71" customWidth="1"/>
    <col min="14079" max="14079" width="7.28515625" style="71" customWidth="1"/>
    <col min="14080" max="14080" width="7.5703125" style="71" customWidth="1"/>
    <col min="14081" max="14081" width="7.42578125" style="71" customWidth="1"/>
    <col min="14082" max="14082" width="7" style="71" customWidth="1"/>
    <col min="14083" max="14083" width="6" style="71" customWidth="1"/>
    <col min="14084" max="14084" width="7.42578125" style="71" customWidth="1"/>
    <col min="14085" max="14085" width="8.42578125" style="71" customWidth="1"/>
    <col min="14086" max="14086" width="7.7109375" style="71" customWidth="1"/>
    <col min="14087" max="14087" width="6.85546875" style="71" customWidth="1"/>
    <col min="14088" max="14329" width="9.140625" style="71"/>
    <col min="14330" max="14330" width="5.28515625" style="71" customWidth="1"/>
    <col min="14331" max="14331" width="43.85546875" style="71" customWidth="1"/>
    <col min="14332" max="14332" width="9" style="71" customWidth="1"/>
    <col min="14333" max="14333" width="7.140625" style="71" customWidth="1"/>
    <col min="14334" max="14334" width="7.5703125" style="71" customWidth="1"/>
    <col min="14335" max="14335" width="7.28515625" style="71" customWidth="1"/>
    <col min="14336" max="14336" width="7.5703125" style="71" customWidth="1"/>
    <col min="14337" max="14337" width="7.42578125" style="71" customWidth="1"/>
    <col min="14338" max="14338" width="7" style="71" customWidth="1"/>
    <col min="14339" max="14339" width="6" style="71" customWidth="1"/>
    <col min="14340" max="14340" width="7.42578125" style="71" customWidth="1"/>
    <col min="14341" max="14341" width="8.42578125" style="71" customWidth="1"/>
    <col min="14342" max="14342" width="7.7109375" style="71" customWidth="1"/>
    <col min="14343" max="14343" width="6.85546875" style="71" customWidth="1"/>
    <col min="14344" max="14585" width="9.140625" style="71"/>
    <col min="14586" max="14586" width="5.28515625" style="71" customWidth="1"/>
    <col min="14587" max="14587" width="43.85546875" style="71" customWidth="1"/>
    <col min="14588" max="14588" width="9" style="71" customWidth="1"/>
    <col min="14589" max="14589" width="7.140625" style="71" customWidth="1"/>
    <col min="14590" max="14590" width="7.5703125" style="71" customWidth="1"/>
    <col min="14591" max="14591" width="7.28515625" style="71" customWidth="1"/>
    <col min="14592" max="14592" width="7.5703125" style="71" customWidth="1"/>
    <col min="14593" max="14593" width="7.42578125" style="71" customWidth="1"/>
    <col min="14594" max="14594" width="7" style="71" customWidth="1"/>
    <col min="14595" max="14595" width="6" style="71" customWidth="1"/>
    <col min="14596" max="14596" width="7.42578125" style="71" customWidth="1"/>
    <col min="14597" max="14597" width="8.42578125" style="71" customWidth="1"/>
    <col min="14598" max="14598" width="7.7109375" style="71" customWidth="1"/>
    <col min="14599" max="14599" width="6.85546875" style="71" customWidth="1"/>
    <col min="14600" max="14841" width="9.140625" style="71"/>
    <col min="14842" max="14842" width="5.28515625" style="71" customWidth="1"/>
    <col min="14843" max="14843" width="43.85546875" style="71" customWidth="1"/>
    <col min="14844" max="14844" width="9" style="71" customWidth="1"/>
    <col min="14845" max="14845" width="7.140625" style="71" customWidth="1"/>
    <col min="14846" max="14846" width="7.5703125" style="71" customWidth="1"/>
    <col min="14847" max="14847" width="7.28515625" style="71" customWidth="1"/>
    <col min="14848" max="14848" width="7.5703125" style="71" customWidth="1"/>
    <col min="14849" max="14849" width="7.42578125" style="71" customWidth="1"/>
    <col min="14850" max="14850" width="7" style="71" customWidth="1"/>
    <col min="14851" max="14851" width="6" style="71" customWidth="1"/>
    <col min="14852" max="14852" width="7.42578125" style="71" customWidth="1"/>
    <col min="14853" max="14853" width="8.42578125" style="71" customWidth="1"/>
    <col min="14854" max="14854" width="7.7109375" style="71" customWidth="1"/>
    <col min="14855" max="14855" width="6.85546875" style="71" customWidth="1"/>
    <col min="14856" max="15097" width="9.140625" style="71"/>
    <col min="15098" max="15098" width="5.28515625" style="71" customWidth="1"/>
    <col min="15099" max="15099" width="43.85546875" style="71" customWidth="1"/>
    <col min="15100" max="15100" width="9" style="71" customWidth="1"/>
    <col min="15101" max="15101" width="7.140625" style="71" customWidth="1"/>
    <col min="15102" max="15102" width="7.5703125" style="71" customWidth="1"/>
    <col min="15103" max="15103" width="7.28515625" style="71" customWidth="1"/>
    <col min="15104" max="15104" width="7.5703125" style="71" customWidth="1"/>
    <col min="15105" max="15105" width="7.42578125" style="71" customWidth="1"/>
    <col min="15106" max="15106" width="7" style="71" customWidth="1"/>
    <col min="15107" max="15107" width="6" style="71" customWidth="1"/>
    <col min="15108" max="15108" width="7.42578125" style="71" customWidth="1"/>
    <col min="15109" max="15109" width="8.42578125" style="71" customWidth="1"/>
    <col min="15110" max="15110" width="7.7109375" style="71" customWidth="1"/>
    <col min="15111" max="15111" width="6.85546875" style="71" customWidth="1"/>
    <col min="15112" max="15353" width="9.140625" style="71"/>
    <col min="15354" max="15354" width="5.28515625" style="71" customWidth="1"/>
    <col min="15355" max="15355" width="43.85546875" style="71" customWidth="1"/>
    <col min="15356" max="15356" width="9" style="71" customWidth="1"/>
    <col min="15357" max="15357" width="7.140625" style="71" customWidth="1"/>
    <col min="15358" max="15358" width="7.5703125" style="71" customWidth="1"/>
    <col min="15359" max="15359" width="7.28515625" style="71" customWidth="1"/>
    <col min="15360" max="15360" width="7.5703125" style="71" customWidth="1"/>
    <col min="15361" max="15361" width="7.42578125" style="71" customWidth="1"/>
    <col min="15362" max="15362" width="7" style="71" customWidth="1"/>
    <col min="15363" max="15363" width="6" style="71" customWidth="1"/>
    <col min="15364" max="15364" width="7.42578125" style="71" customWidth="1"/>
    <col min="15365" max="15365" width="8.42578125" style="71" customWidth="1"/>
    <col min="15366" max="15366" width="7.7109375" style="71" customWidth="1"/>
    <col min="15367" max="15367" width="6.85546875" style="71" customWidth="1"/>
    <col min="15368" max="15609" width="9.140625" style="71"/>
    <col min="15610" max="15610" width="5.28515625" style="71" customWidth="1"/>
    <col min="15611" max="15611" width="43.85546875" style="71" customWidth="1"/>
    <col min="15612" max="15612" width="9" style="71" customWidth="1"/>
    <col min="15613" max="15613" width="7.140625" style="71" customWidth="1"/>
    <col min="15614" max="15614" width="7.5703125" style="71" customWidth="1"/>
    <col min="15615" max="15615" width="7.28515625" style="71" customWidth="1"/>
    <col min="15616" max="15616" width="7.5703125" style="71" customWidth="1"/>
    <col min="15617" max="15617" width="7.42578125" style="71" customWidth="1"/>
    <col min="15618" max="15618" width="7" style="71" customWidth="1"/>
    <col min="15619" max="15619" width="6" style="71" customWidth="1"/>
    <col min="15620" max="15620" width="7.42578125" style="71" customWidth="1"/>
    <col min="15621" max="15621" width="8.42578125" style="71" customWidth="1"/>
    <col min="15622" max="15622" width="7.7109375" style="71" customWidth="1"/>
    <col min="15623" max="15623" width="6.85546875" style="71" customWidth="1"/>
    <col min="15624" max="15865" width="9.140625" style="71"/>
    <col min="15866" max="15866" width="5.28515625" style="71" customWidth="1"/>
    <col min="15867" max="15867" width="43.85546875" style="71" customWidth="1"/>
    <col min="15868" max="15868" width="9" style="71" customWidth="1"/>
    <col min="15869" max="15869" width="7.140625" style="71" customWidth="1"/>
    <col min="15870" max="15870" width="7.5703125" style="71" customWidth="1"/>
    <col min="15871" max="15871" width="7.28515625" style="71" customWidth="1"/>
    <col min="15872" max="15872" width="7.5703125" style="71" customWidth="1"/>
    <col min="15873" max="15873" width="7.42578125" style="71" customWidth="1"/>
    <col min="15874" max="15874" width="7" style="71" customWidth="1"/>
    <col min="15875" max="15875" width="6" style="71" customWidth="1"/>
    <col min="15876" max="15876" width="7.42578125" style="71" customWidth="1"/>
    <col min="15877" max="15877" width="8.42578125" style="71" customWidth="1"/>
    <col min="15878" max="15878" width="7.7109375" style="71" customWidth="1"/>
    <col min="15879" max="15879" width="6.85546875" style="71" customWidth="1"/>
    <col min="15880" max="16121" width="9.140625" style="71"/>
    <col min="16122" max="16122" width="5.28515625" style="71" customWidth="1"/>
    <col min="16123" max="16123" width="43.85546875" style="71" customWidth="1"/>
    <col min="16124" max="16124" width="9" style="71" customWidth="1"/>
    <col min="16125" max="16125" width="7.140625" style="71" customWidth="1"/>
    <col min="16126" max="16126" width="7.5703125" style="71" customWidth="1"/>
    <col min="16127" max="16127" width="7.28515625" style="71" customWidth="1"/>
    <col min="16128" max="16128" width="7.5703125" style="71" customWidth="1"/>
    <col min="16129" max="16129" width="7.42578125" style="71" customWidth="1"/>
    <col min="16130" max="16130" width="7" style="71" customWidth="1"/>
    <col min="16131" max="16131" width="6" style="71" customWidth="1"/>
    <col min="16132" max="16132" width="7.42578125" style="71" customWidth="1"/>
    <col min="16133" max="16133" width="8.42578125" style="71" customWidth="1"/>
    <col min="16134" max="16134" width="7.7109375" style="71" customWidth="1"/>
    <col min="16135" max="16135" width="6.85546875" style="71" customWidth="1"/>
    <col min="16136" max="16384" width="9.140625" style="71"/>
  </cols>
  <sheetData>
    <row r="1" spans="1:380" s="68" customFormat="1" ht="16.5">
      <c r="A1" s="744" t="s">
        <v>373</v>
      </c>
      <c r="B1" s="744"/>
      <c r="C1" s="66"/>
      <c r="D1" s="66"/>
      <c r="E1" s="66"/>
      <c r="F1" s="66"/>
      <c r="G1" s="66"/>
      <c r="H1" s="66"/>
      <c r="I1" s="66"/>
      <c r="J1" s="66"/>
      <c r="K1" s="66"/>
      <c r="L1" s="748" t="s">
        <v>375</v>
      </c>
      <c r="M1" s="748"/>
      <c r="N1" s="748"/>
      <c r="O1" s="748"/>
    </row>
    <row r="2" spans="1:380" s="68" customFormat="1" ht="7.9" customHeight="1">
      <c r="A2" s="69"/>
      <c r="B2" s="70"/>
      <c r="C2" s="66"/>
      <c r="D2" s="66"/>
      <c r="E2" s="66"/>
      <c r="F2" s="66"/>
      <c r="G2" s="66"/>
      <c r="H2" s="66"/>
      <c r="I2" s="66"/>
      <c r="J2" s="66"/>
      <c r="K2" s="66"/>
      <c r="L2" s="66"/>
      <c r="M2" s="66"/>
      <c r="N2" s="66"/>
      <c r="O2" s="67"/>
    </row>
    <row r="3" spans="1:380" s="68" customFormat="1" ht="18" customHeight="1">
      <c r="A3" s="745" t="s">
        <v>376</v>
      </c>
      <c r="B3" s="745"/>
      <c r="C3" s="745"/>
      <c r="D3" s="745"/>
      <c r="E3" s="745"/>
      <c r="F3" s="745"/>
      <c r="G3" s="745"/>
      <c r="H3" s="745"/>
      <c r="I3" s="745"/>
      <c r="J3" s="745"/>
      <c r="K3" s="745"/>
      <c r="L3" s="745"/>
      <c r="M3" s="745"/>
      <c r="N3" s="745"/>
      <c r="O3" s="745"/>
    </row>
    <row r="4" spans="1:380" s="68" customFormat="1" ht="18" customHeight="1">
      <c r="A4" s="745" t="s">
        <v>475</v>
      </c>
      <c r="B4" s="746"/>
      <c r="C4" s="746"/>
      <c r="D4" s="746"/>
      <c r="E4" s="746"/>
      <c r="F4" s="746"/>
      <c r="G4" s="746"/>
      <c r="H4" s="746"/>
      <c r="I4" s="746"/>
      <c r="J4" s="746"/>
      <c r="K4" s="746"/>
      <c r="L4" s="746"/>
      <c r="M4" s="746"/>
      <c r="N4" s="746"/>
      <c r="O4" s="746"/>
    </row>
    <row r="5" spans="1:380" s="68" customFormat="1" ht="18.75">
      <c r="A5" s="747" t="s">
        <v>147</v>
      </c>
      <c r="B5" s="747"/>
      <c r="C5" s="747"/>
      <c r="D5" s="747"/>
      <c r="E5" s="747"/>
      <c r="F5" s="747"/>
      <c r="G5" s="747"/>
      <c r="H5" s="747"/>
      <c r="I5" s="747"/>
      <c r="J5" s="747"/>
      <c r="K5" s="747"/>
      <c r="L5" s="747"/>
      <c r="M5" s="747"/>
      <c r="N5" s="747"/>
      <c r="O5" s="747"/>
    </row>
    <row r="6" spans="1:380" ht="15.75">
      <c r="A6" s="68"/>
      <c r="B6" s="70"/>
      <c r="C6" s="66"/>
      <c r="D6" s="66"/>
      <c r="E6" s="66"/>
      <c r="F6" s="66"/>
      <c r="G6" s="66"/>
      <c r="H6" s="66"/>
      <c r="I6" s="66"/>
      <c r="J6" s="66"/>
      <c r="K6" s="66"/>
      <c r="L6" s="66"/>
      <c r="M6" s="743" t="s">
        <v>1</v>
      </c>
      <c r="N6" s="743"/>
      <c r="O6" s="743"/>
    </row>
    <row r="7" spans="1:380" s="74" customFormat="1" ht="15.75">
      <c r="A7" s="741" t="s">
        <v>65</v>
      </c>
      <c r="B7" s="741" t="s">
        <v>107</v>
      </c>
      <c r="C7" s="741" t="s">
        <v>54</v>
      </c>
      <c r="D7" s="742" t="s">
        <v>249</v>
      </c>
      <c r="E7" s="742"/>
      <c r="F7" s="742"/>
      <c r="G7" s="742"/>
      <c r="H7" s="742"/>
      <c r="I7" s="742"/>
      <c r="J7" s="742"/>
      <c r="K7" s="742"/>
      <c r="L7" s="742"/>
      <c r="M7" s="742"/>
      <c r="N7" s="742"/>
      <c r="O7" s="742"/>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73"/>
      <c r="GZ7" s="73"/>
      <c r="HA7" s="73"/>
      <c r="HB7" s="73"/>
      <c r="HC7" s="73"/>
      <c r="HD7" s="73"/>
      <c r="HE7" s="73"/>
      <c r="HF7" s="73"/>
      <c r="HG7" s="73"/>
      <c r="HH7" s="73"/>
      <c r="HI7" s="73"/>
      <c r="HJ7" s="73"/>
      <c r="HK7" s="73"/>
      <c r="HL7" s="73"/>
      <c r="HM7" s="73"/>
      <c r="HN7" s="73"/>
      <c r="HO7" s="73"/>
      <c r="HP7" s="73"/>
      <c r="HQ7" s="73"/>
      <c r="HR7" s="73"/>
      <c r="HS7" s="73"/>
      <c r="HT7" s="73"/>
      <c r="HU7" s="73"/>
      <c r="HV7" s="73"/>
      <c r="HW7" s="73"/>
      <c r="HX7" s="73"/>
      <c r="HY7" s="73"/>
      <c r="HZ7" s="73"/>
      <c r="IA7" s="73"/>
      <c r="IB7" s="73"/>
      <c r="IC7" s="73"/>
      <c r="ID7" s="73"/>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c r="JR7" s="73"/>
      <c r="JS7" s="73"/>
      <c r="JT7" s="73"/>
      <c r="JU7" s="73"/>
      <c r="JV7" s="73"/>
      <c r="JW7" s="73"/>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c r="LK7" s="73"/>
      <c r="LL7" s="73"/>
      <c r="LM7" s="73"/>
      <c r="LN7" s="73"/>
      <c r="LO7" s="73"/>
      <c r="LP7" s="73"/>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73"/>
      <c r="ND7" s="73"/>
      <c r="NE7" s="73"/>
      <c r="NF7" s="73"/>
      <c r="NG7" s="73"/>
      <c r="NH7" s="73"/>
      <c r="NI7" s="73"/>
      <c r="NJ7" s="73"/>
      <c r="NK7" s="73"/>
      <c r="NL7" s="73"/>
      <c r="NM7" s="73"/>
      <c r="NN7" s="73"/>
      <c r="NO7" s="73"/>
      <c r="NP7" s="73"/>
    </row>
    <row r="8" spans="1:380" s="74" customFormat="1" ht="15.75">
      <c r="A8" s="741"/>
      <c r="B8" s="741"/>
      <c r="C8" s="741"/>
      <c r="D8" s="739" t="s">
        <v>127</v>
      </c>
      <c r="E8" s="739" t="s">
        <v>134</v>
      </c>
      <c r="F8" s="739" t="s">
        <v>128</v>
      </c>
      <c r="G8" s="739" t="s">
        <v>129</v>
      </c>
      <c r="H8" s="739" t="s">
        <v>135</v>
      </c>
      <c r="I8" s="739" t="s">
        <v>136</v>
      </c>
      <c r="J8" s="739" t="s">
        <v>130</v>
      </c>
      <c r="K8" s="739" t="s">
        <v>131</v>
      </c>
      <c r="L8" s="742" t="s">
        <v>249</v>
      </c>
      <c r="M8" s="742"/>
      <c r="N8" s="740" t="s">
        <v>252</v>
      </c>
      <c r="O8" s="739" t="s">
        <v>133</v>
      </c>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3"/>
      <c r="FZ8" s="73"/>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3"/>
      <c r="HS8" s="73"/>
      <c r="HT8" s="73"/>
      <c r="HU8" s="73"/>
      <c r="HV8" s="73"/>
      <c r="HW8" s="73"/>
      <c r="HX8" s="73"/>
      <c r="HY8" s="73"/>
      <c r="HZ8" s="73"/>
      <c r="IA8" s="73"/>
      <c r="IB8" s="73"/>
      <c r="IC8" s="73"/>
      <c r="ID8" s="73"/>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3"/>
      <c r="JW8" s="73"/>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3"/>
      <c r="LP8" s="73"/>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3"/>
      <c r="NI8" s="73"/>
      <c r="NJ8" s="73"/>
      <c r="NK8" s="73"/>
      <c r="NL8" s="73"/>
      <c r="NM8" s="73"/>
      <c r="NN8" s="73"/>
      <c r="NO8" s="73"/>
      <c r="NP8" s="73"/>
    </row>
    <row r="9" spans="1:380" s="74" customFormat="1" ht="63.75">
      <c r="A9" s="741" t="s">
        <v>65</v>
      </c>
      <c r="B9" s="741" t="s">
        <v>58</v>
      </c>
      <c r="C9" s="741"/>
      <c r="D9" s="739"/>
      <c r="E9" s="739"/>
      <c r="F9" s="739"/>
      <c r="G9" s="739"/>
      <c r="H9" s="739"/>
      <c r="I9" s="739"/>
      <c r="J9" s="739"/>
      <c r="K9" s="739"/>
      <c r="L9" s="75" t="s">
        <v>250</v>
      </c>
      <c r="M9" s="75" t="s">
        <v>251</v>
      </c>
      <c r="N9" s="740"/>
      <c r="O9" s="739"/>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c r="JR9" s="73"/>
      <c r="JS9" s="73"/>
      <c r="JT9" s="73"/>
      <c r="JU9" s="73"/>
      <c r="JV9" s="73"/>
      <c r="JW9" s="73"/>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c r="LK9" s="73"/>
      <c r="LL9" s="73"/>
      <c r="LM9" s="73"/>
      <c r="LN9" s="73"/>
      <c r="LO9" s="73"/>
      <c r="LP9" s="73"/>
      <c r="LQ9" s="73"/>
      <c r="LR9" s="73"/>
      <c r="LS9" s="73"/>
      <c r="LT9" s="73"/>
      <c r="LU9" s="73"/>
      <c r="LV9" s="73"/>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3"/>
      <c r="NA9" s="73"/>
      <c r="NB9" s="73"/>
      <c r="NC9" s="73"/>
      <c r="ND9" s="73"/>
      <c r="NE9" s="73"/>
      <c r="NF9" s="73"/>
      <c r="NG9" s="73"/>
      <c r="NH9" s="73"/>
      <c r="NI9" s="73"/>
      <c r="NJ9" s="73"/>
      <c r="NK9" s="73"/>
      <c r="NL9" s="73"/>
      <c r="NM9" s="73"/>
      <c r="NN9" s="73"/>
      <c r="NO9" s="73"/>
      <c r="NP9" s="73"/>
    </row>
    <row r="10" spans="1:380" s="74" customFormat="1" ht="15.75">
      <c r="A10" s="72" t="s">
        <v>55</v>
      </c>
      <c r="B10" s="72" t="s">
        <v>56</v>
      </c>
      <c r="C10" s="72">
        <v>1</v>
      </c>
      <c r="D10" s="72">
        <v>2</v>
      </c>
      <c r="E10" s="72">
        <v>3</v>
      </c>
      <c r="F10" s="72">
        <v>4</v>
      </c>
      <c r="G10" s="72">
        <v>5</v>
      </c>
      <c r="H10" s="72">
        <v>6</v>
      </c>
      <c r="I10" s="72">
        <v>7</v>
      </c>
      <c r="J10" s="72">
        <v>8</v>
      </c>
      <c r="K10" s="72">
        <v>9</v>
      </c>
      <c r="L10" s="72">
        <v>10</v>
      </c>
      <c r="M10" s="72">
        <v>11</v>
      </c>
      <c r="N10" s="72">
        <v>12</v>
      </c>
      <c r="O10" s="72">
        <v>13</v>
      </c>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3"/>
      <c r="JW10" s="73"/>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3"/>
      <c r="LP10" s="73"/>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3"/>
      <c r="NI10" s="73"/>
      <c r="NJ10" s="73"/>
      <c r="NK10" s="73"/>
      <c r="NL10" s="73"/>
      <c r="NM10" s="73"/>
      <c r="NN10" s="73"/>
      <c r="NO10" s="73"/>
      <c r="NP10" s="73"/>
    </row>
    <row r="11" spans="1:380" s="81" customFormat="1" ht="15.75">
      <c r="A11" s="76"/>
      <c r="B11" s="77" t="s">
        <v>54</v>
      </c>
      <c r="C11" s="78">
        <f t="shared" ref="C11:O11" si="0">SUM(C12:C34)</f>
        <v>2785396</v>
      </c>
      <c r="D11" s="79">
        <f t="shared" si="0"/>
        <v>13455</v>
      </c>
      <c r="E11" s="79">
        <f t="shared" si="0"/>
        <v>57665</v>
      </c>
      <c r="F11" s="79">
        <f t="shared" si="0"/>
        <v>201988</v>
      </c>
      <c r="G11" s="79">
        <f t="shared" si="0"/>
        <v>6200</v>
      </c>
      <c r="H11" s="79">
        <f t="shared" si="0"/>
        <v>0</v>
      </c>
      <c r="I11" s="79">
        <f t="shared" si="0"/>
        <v>0</v>
      </c>
      <c r="J11" s="79">
        <f t="shared" si="0"/>
        <v>23378</v>
      </c>
      <c r="K11" s="79">
        <f t="shared" si="0"/>
        <v>2288431</v>
      </c>
      <c r="L11" s="79">
        <f t="shared" si="0"/>
        <v>1871574</v>
      </c>
      <c r="M11" s="79">
        <f t="shared" si="0"/>
        <v>10000</v>
      </c>
      <c r="N11" s="79">
        <f t="shared" si="0"/>
        <v>30384</v>
      </c>
      <c r="O11" s="79">
        <f t="shared" si="0"/>
        <v>90000</v>
      </c>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c r="IW11" s="80"/>
      <c r="IX11" s="80"/>
      <c r="IY11" s="80"/>
      <c r="IZ11" s="80"/>
      <c r="JA11" s="80"/>
      <c r="JB11" s="80"/>
      <c r="JC11" s="80"/>
      <c r="JD11" s="80"/>
      <c r="JE11" s="80"/>
      <c r="JF11" s="80"/>
      <c r="JG11" s="80"/>
      <c r="JH11" s="80"/>
      <c r="JI11" s="80"/>
      <c r="JJ11" s="80"/>
      <c r="JK11" s="80"/>
      <c r="JL11" s="80"/>
      <c r="JM11" s="80"/>
      <c r="JN11" s="80"/>
      <c r="JO11" s="80"/>
      <c r="JP11" s="80"/>
      <c r="JQ11" s="80"/>
      <c r="JR11" s="80"/>
      <c r="JS11" s="80"/>
      <c r="JT11" s="80"/>
      <c r="JU11" s="80"/>
      <c r="JV11" s="80"/>
      <c r="JW11" s="80"/>
      <c r="JX11" s="80"/>
      <c r="JY11" s="80"/>
      <c r="JZ11" s="80"/>
      <c r="KA11" s="80"/>
      <c r="KB11" s="80"/>
      <c r="KC11" s="80"/>
      <c r="KD11" s="80"/>
      <c r="KE11" s="80"/>
      <c r="KF11" s="80"/>
      <c r="KG11" s="80"/>
      <c r="KH11" s="80"/>
      <c r="KI11" s="80"/>
      <c r="KJ11" s="80"/>
      <c r="KK11" s="80"/>
      <c r="KL11" s="80"/>
      <c r="KM11" s="80"/>
      <c r="KN11" s="80"/>
      <c r="KO11" s="80"/>
      <c r="KP11" s="80"/>
      <c r="KQ11" s="80"/>
      <c r="KR11" s="80"/>
      <c r="KS11" s="80"/>
      <c r="KT11" s="80"/>
      <c r="KU11" s="80"/>
      <c r="KV11" s="80"/>
      <c r="KW11" s="80"/>
      <c r="KX11" s="80"/>
      <c r="KY11" s="80"/>
      <c r="KZ11" s="80"/>
      <c r="LA11" s="80"/>
      <c r="LB11" s="80"/>
      <c r="LC11" s="80"/>
      <c r="LD11" s="80"/>
      <c r="LE11" s="80"/>
      <c r="LF11" s="80"/>
      <c r="LG11" s="80"/>
      <c r="LH11" s="80"/>
      <c r="LI11" s="80"/>
      <c r="LJ11" s="80"/>
      <c r="LK11" s="80"/>
      <c r="LL11" s="80"/>
      <c r="LM11" s="80"/>
      <c r="LN11" s="80"/>
      <c r="LO11" s="80"/>
      <c r="LP11" s="80"/>
      <c r="LQ11" s="80"/>
      <c r="LR11" s="80"/>
      <c r="LS11" s="80"/>
      <c r="LT11" s="80"/>
      <c r="LU11" s="80"/>
      <c r="LV11" s="80"/>
      <c r="LW11" s="80"/>
      <c r="LX11" s="80"/>
      <c r="LY11" s="80"/>
      <c r="LZ11" s="80"/>
      <c r="MA11" s="80"/>
      <c r="MB11" s="80"/>
      <c r="MC11" s="80"/>
      <c r="MD11" s="80"/>
      <c r="ME11" s="80"/>
      <c r="MF11" s="80"/>
      <c r="MG11" s="80"/>
      <c r="MH11" s="80"/>
      <c r="MI11" s="80"/>
      <c r="MJ11" s="80"/>
      <c r="MK11" s="80"/>
      <c r="ML11" s="80"/>
      <c r="MM11" s="80"/>
      <c r="MN11" s="80"/>
      <c r="MO11" s="80"/>
      <c r="MP11" s="80"/>
      <c r="MQ11" s="80"/>
      <c r="MR11" s="80"/>
      <c r="MS11" s="80"/>
      <c r="MT11" s="80"/>
      <c r="MU11" s="80"/>
      <c r="MV11" s="80"/>
      <c r="MW11" s="80"/>
      <c r="MX11" s="80"/>
      <c r="MY11" s="80"/>
      <c r="MZ11" s="80"/>
      <c r="NA11" s="80"/>
      <c r="NB11" s="80"/>
      <c r="NC11" s="80"/>
      <c r="ND11" s="80"/>
      <c r="NE11" s="80"/>
      <c r="NF11" s="80"/>
      <c r="NG11" s="80"/>
      <c r="NH11" s="80"/>
      <c r="NI11" s="80"/>
      <c r="NJ11" s="80"/>
      <c r="NK11" s="80"/>
      <c r="NL11" s="80"/>
      <c r="NM11" s="80"/>
      <c r="NN11" s="80"/>
      <c r="NO11" s="80"/>
      <c r="NP11" s="80"/>
    </row>
    <row r="12" spans="1:380" s="466" customFormat="1" ht="22.9" customHeight="1">
      <c r="A12" s="463">
        <v>1</v>
      </c>
      <c r="B12" s="464" t="s">
        <v>122</v>
      </c>
      <c r="C12" s="49">
        <f>'[5]Dự án chuyen tiep, KC'!$BO$36</f>
        <v>24895</v>
      </c>
      <c r="D12" s="49"/>
      <c r="E12" s="49"/>
      <c r="F12" s="465"/>
      <c r="G12" s="49"/>
      <c r="H12" s="49"/>
      <c r="I12" s="49"/>
      <c r="J12" s="49"/>
      <c r="K12" s="49"/>
      <c r="L12" s="49"/>
      <c r="M12" s="49"/>
      <c r="N12" s="49"/>
      <c r="O12" s="49"/>
    </row>
    <row r="13" spans="1:380" s="467" customFormat="1" ht="22.9" customHeight="1">
      <c r="A13" s="463">
        <f>A12+1</f>
        <v>2</v>
      </c>
      <c r="B13" s="464" t="s">
        <v>253</v>
      </c>
      <c r="C13" s="49">
        <f>'[5]Dự án chuyen tiep, KC'!$BO$39</f>
        <v>49000</v>
      </c>
      <c r="D13" s="49"/>
      <c r="E13" s="49"/>
      <c r="F13" s="465"/>
      <c r="G13" s="49"/>
      <c r="H13" s="49"/>
      <c r="I13" s="49"/>
      <c r="J13" s="49"/>
      <c r="K13" s="49"/>
      <c r="L13" s="49"/>
      <c r="M13" s="49"/>
      <c r="N13" s="49"/>
      <c r="O13" s="49"/>
    </row>
    <row r="14" spans="1:380" s="475" customFormat="1" ht="34.15" customHeight="1">
      <c r="A14" s="463">
        <f t="shared" ref="A14:A34" si="1">A13+1</f>
        <v>3</v>
      </c>
      <c r="B14" s="473" t="s">
        <v>123</v>
      </c>
      <c r="C14" s="474">
        <f>SUM(D14:K14)+N14+O14</f>
        <v>4395</v>
      </c>
      <c r="D14" s="474">
        <f>'[5]Giáo dục'!$W$28+'[5]Giáo dục'!$W$29</f>
        <v>4395</v>
      </c>
      <c r="E14" s="474"/>
      <c r="F14" s="465"/>
      <c r="G14" s="474"/>
      <c r="H14" s="474"/>
      <c r="I14" s="474"/>
      <c r="J14" s="474"/>
      <c r="K14" s="474"/>
      <c r="L14" s="474"/>
      <c r="M14" s="474"/>
      <c r="N14" s="474"/>
      <c r="O14" s="474"/>
    </row>
    <row r="15" spans="1:380" s="466" customFormat="1" ht="34.15" customHeight="1">
      <c r="A15" s="463">
        <f t="shared" si="1"/>
        <v>4</v>
      </c>
      <c r="B15" s="464" t="s">
        <v>119</v>
      </c>
      <c r="C15" s="49">
        <f t="shared" ref="C15:C34" si="2">SUM(D15:K15)+N15+O15</f>
        <v>10010</v>
      </c>
      <c r="D15" s="49">
        <f>'[5]Giáo dục'!$W$16+'[5]Giáo dục'!$W$17+'[5]Giáo dục'!$W$31+'[5]Giáo dục'!$W$32</f>
        <v>5460</v>
      </c>
      <c r="E15" s="49"/>
      <c r="F15" s="465"/>
      <c r="G15" s="49"/>
      <c r="H15" s="49"/>
      <c r="I15" s="49"/>
      <c r="J15" s="49"/>
      <c r="K15" s="49">
        <f>'[5]Dự án chuyen tiep, KC'!$BO$44+'[5]Dự án chuyen tiep, KC'!$BO$54</f>
        <v>4550</v>
      </c>
      <c r="L15" s="49"/>
      <c r="M15" s="49"/>
      <c r="N15" s="49"/>
      <c r="O15" s="49"/>
    </row>
    <row r="16" spans="1:380" s="466" customFormat="1" ht="34.15" customHeight="1">
      <c r="A16" s="463">
        <f t="shared" si="1"/>
        <v>5</v>
      </c>
      <c r="B16" s="464" t="s">
        <v>118</v>
      </c>
      <c r="C16" s="49">
        <f t="shared" si="2"/>
        <v>36165</v>
      </c>
      <c r="D16" s="49">
        <f>'[5]Giáo dục'!$W$24+'[5]Giáo dục'!$W$25+'[5]Giáo dục'!$W$26+'[5]Giáo dục'!$W$27</f>
        <v>3600</v>
      </c>
      <c r="E16" s="49"/>
      <c r="F16" s="465"/>
      <c r="G16" s="49"/>
      <c r="H16" s="49"/>
      <c r="I16" s="49"/>
      <c r="J16" s="49"/>
      <c r="K16" s="49">
        <f>'[5]Dự án chuyen tiep, KC'!$BO$30+'[5]Dự án chuyen tiep, KC'!$BO$24+'[5]Trụ sở xã'!$K$21</f>
        <v>32565</v>
      </c>
      <c r="L16" s="49"/>
      <c r="M16" s="49"/>
      <c r="N16" s="49"/>
      <c r="O16" s="49"/>
    </row>
    <row r="17" spans="1:380" s="472" customFormat="1" ht="34.15" customHeight="1">
      <c r="A17" s="468">
        <f t="shared" si="1"/>
        <v>6</v>
      </c>
      <c r="B17" s="469" t="s">
        <v>120</v>
      </c>
      <c r="C17" s="470">
        <f t="shared" si="2"/>
        <v>9000</v>
      </c>
      <c r="D17" s="470"/>
      <c r="E17" s="470"/>
      <c r="F17" s="471"/>
      <c r="G17" s="470"/>
      <c r="H17" s="470"/>
      <c r="I17" s="470"/>
      <c r="J17" s="470"/>
      <c r="K17" s="470">
        <v>9000</v>
      </c>
      <c r="L17" s="470">
        <f>K17</f>
        <v>9000</v>
      </c>
      <c r="M17" s="470"/>
      <c r="N17" s="470"/>
      <c r="O17" s="470"/>
    </row>
    <row r="18" spans="1:380" s="86" customFormat="1" ht="34.15" customHeight="1">
      <c r="A18" s="82">
        <f t="shared" si="1"/>
        <v>7</v>
      </c>
      <c r="B18" s="83" t="s">
        <v>116</v>
      </c>
      <c r="C18" s="84">
        <f t="shared" si="2"/>
        <v>27688</v>
      </c>
      <c r="D18" s="88"/>
      <c r="E18" s="84"/>
      <c r="F18" s="85"/>
      <c r="G18" s="84"/>
      <c r="H18" s="84"/>
      <c r="I18" s="84"/>
      <c r="J18" s="84"/>
      <c r="K18" s="84">
        <v>27688</v>
      </c>
      <c r="L18" s="84">
        <v>15000</v>
      </c>
      <c r="M18" s="84"/>
      <c r="N18" s="84"/>
      <c r="O18" s="84"/>
    </row>
    <row r="19" spans="1:380" s="86" customFormat="1" ht="34.15" customHeight="1">
      <c r="A19" s="82">
        <f t="shared" si="1"/>
        <v>8</v>
      </c>
      <c r="B19" s="83" t="s">
        <v>121</v>
      </c>
      <c r="C19" s="84">
        <f t="shared" si="2"/>
        <v>37850</v>
      </c>
      <c r="D19" s="84"/>
      <c r="E19" s="84"/>
      <c r="F19" s="85"/>
      <c r="G19" s="84">
        <v>3200</v>
      </c>
      <c r="H19" s="84"/>
      <c r="I19" s="84"/>
      <c r="J19" s="84"/>
      <c r="K19" s="84">
        <v>34650</v>
      </c>
      <c r="L19" s="84">
        <f>K19-M19</f>
        <v>24650</v>
      </c>
      <c r="M19" s="84">
        <v>10000</v>
      </c>
      <c r="N19" s="84"/>
      <c r="O19" s="84"/>
    </row>
    <row r="20" spans="1:380" s="87" customFormat="1" ht="34.15" customHeight="1">
      <c r="A20" s="82">
        <f t="shared" si="1"/>
        <v>9</v>
      </c>
      <c r="B20" s="83" t="s">
        <v>117</v>
      </c>
      <c r="C20" s="84">
        <f t="shared" si="2"/>
        <v>30000</v>
      </c>
      <c r="D20" s="84"/>
      <c r="E20" s="84"/>
      <c r="F20" s="85"/>
      <c r="G20" s="89"/>
      <c r="H20" s="84"/>
      <c r="I20" s="84"/>
      <c r="J20" s="84"/>
      <c r="K20" s="84">
        <v>30000</v>
      </c>
      <c r="L20" s="84">
        <f>K20</f>
        <v>30000</v>
      </c>
      <c r="M20" s="84"/>
      <c r="N20" s="84"/>
      <c r="O20" s="84"/>
    </row>
    <row r="21" spans="1:380" s="86" customFormat="1" ht="34.15" customHeight="1">
      <c r="A21" s="82">
        <f t="shared" si="1"/>
        <v>10</v>
      </c>
      <c r="B21" s="83" t="s">
        <v>124</v>
      </c>
      <c r="C21" s="84">
        <f t="shared" si="2"/>
        <v>21013</v>
      </c>
      <c r="D21" s="84"/>
      <c r="E21" s="84"/>
      <c r="F21" s="85"/>
      <c r="G21" s="84"/>
      <c r="H21" s="84"/>
      <c r="I21" s="84"/>
      <c r="J21" s="84"/>
      <c r="K21" s="84">
        <v>21013</v>
      </c>
      <c r="L21" s="84">
        <f>K21</f>
        <v>21013</v>
      </c>
      <c r="M21" s="84"/>
      <c r="N21" s="84"/>
      <c r="O21" s="84"/>
    </row>
    <row r="22" spans="1:380" s="87" customFormat="1" ht="22.9" customHeight="1">
      <c r="A22" s="82">
        <f t="shared" si="1"/>
        <v>11</v>
      </c>
      <c r="B22" s="83" t="s">
        <v>292</v>
      </c>
      <c r="C22" s="84">
        <f t="shared" si="2"/>
        <v>47920</v>
      </c>
      <c r="D22" s="84"/>
      <c r="E22" s="84"/>
      <c r="F22" s="85"/>
      <c r="G22" s="84">
        <v>3000</v>
      </c>
      <c r="H22" s="84"/>
      <c r="I22" s="84"/>
      <c r="J22" s="84"/>
      <c r="K22" s="84">
        <v>43000</v>
      </c>
      <c r="L22" s="84"/>
      <c r="M22" s="84"/>
      <c r="N22" s="84">
        <v>1920</v>
      </c>
      <c r="O22" s="84"/>
    </row>
    <row r="23" spans="1:380" s="87" customFormat="1" ht="22.9" customHeight="1">
      <c r="A23" s="82">
        <f t="shared" si="1"/>
        <v>12</v>
      </c>
      <c r="B23" s="83" t="s">
        <v>43</v>
      </c>
      <c r="C23" s="84">
        <f t="shared" si="2"/>
        <v>38366</v>
      </c>
      <c r="D23" s="84"/>
      <c r="E23" s="84"/>
      <c r="F23" s="85">
        <v>14988</v>
      </c>
      <c r="G23" s="84"/>
      <c r="H23" s="84"/>
      <c r="I23" s="84"/>
      <c r="J23" s="84">
        <v>23378</v>
      </c>
      <c r="K23" s="84"/>
      <c r="L23" s="84"/>
      <c r="M23" s="84"/>
      <c r="N23" s="84"/>
      <c r="O23" s="84"/>
    </row>
    <row r="24" spans="1:380" s="87" customFormat="1" ht="22.9" customHeight="1">
      <c r="A24" s="82">
        <f t="shared" si="1"/>
        <v>13</v>
      </c>
      <c r="B24" s="83" t="s">
        <v>261</v>
      </c>
      <c r="C24" s="84">
        <f t="shared" si="2"/>
        <v>684311</v>
      </c>
      <c r="D24" s="84"/>
      <c r="E24" s="84"/>
      <c r="F24" s="85"/>
      <c r="G24" s="84"/>
      <c r="H24" s="84"/>
      <c r="I24" s="84"/>
      <c r="J24" s="84"/>
      <c r="K24" s="84">
        <v>684311</v>
      </c>
      <c r="L24" s="84">
        <f>K24</f>
        <v>684311</v>
      </c>
      <c r="M24" s="84"/>
      <c r="N24" s="84"/>
      <c r="O24" s="84"/>
    </row>
    <row r="25" spans="1:380" s="91" customFormat="1" ht="39.6" customHeight="1">
      <c r="A25" s="82">
        <f t="shared" si="1"/>
        <v>14</v>
      </c>
      <c r="B25" s="83" t="s">
        <v>264</v>
      </c>
      <c r="C25" s="84">
        <f t="shared" si="2"/>
        <v>1087600</v>
      </c>
      <c r="D25" s="85"/>
      <c r="E25" s="85"/>
      <c r="F25" s="85"/>
      <c r="G25" s="85"/>
      <c r="H25" s="85"/>
      <c r="I25" s="85"/>
      <c r="J25" s="85"/>
      <c r="K25" s="85">
        <v>1087600</v>
      </c>
      <c r="L25" s="85">
        <f>K25</f>
        <v>1087600</v>
      </c>
      <c r="M25" s="85"/>
      <c r="N25" s="85"/>
      <c r="O25" s="85"/>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c r="FY25" s="90"/>
      <c r="FZ25" s="90"/>
      <c r="GA25" s="90"/>
      <c r="GB25" s="90"/>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c r="HC25" s="90"/>
      <c r="HD25" s="90"/>
      <c r="HE25" s="90"/>
      <c r="HF25" s="90"/>
      <c r="HG25" s="90"/>
      <c r="HH25" s="90"/>
      <c r="HI25" s="90"/>
      <c r="HJ25" s="90"/>
      <c r="HK25" s="90"/>
      <c r="HL25" s="90"/>
      <c r="HM25" s="90"/>
      <c r="HN25" s="90"/>
      <c r="HO25" s="90"/>
      <c r="HP25" s="90"/>
      <c r="HQ25" s="90"/>
      <c r="HR25" s="90"/>
      <c r="HS25" s="90"/>
      <c r="HT25" s="90"/>
      <c r="HU25" s="90"/>
      <c r="HV25" s="90"/>
      <c r="HW25" s="90"/>
      <c r="HX25" s="90"/>
      <c r="HY25" s="90"/>
      <c r="HZ25" s="90"/>
      <c r="IA25" s="90"/>
      <c r="IB25" s="90"/>
      <c r="IC25" s="90"/>
      <c r="ID25" s="90"/>
      <c r="IE25" s="90"/>
      <c r="IF25" s="90"/>
      <c r="IG25" s="90"/>
      <c r="IH25" s="90"/>
      <c r="II25" s="90"/>
      <c r="IJ25" s="90"/>
      <c r="IK25" s="90"/>
      <c r="IL25" s="90"/>
      <c r="IM25" s="90"/>
      <c r="IN25" s="90"/>
      <c r="IO25" s="90"/>
      <c r="IP25" s="90"/>
      <c r="IQ25" s="90"/>
      <c r="IR25" s="90"/>
      <c r="IS25" s="90"/>
      <c r="IT25" s="90"/>
      <c r="IU25" s="90"/>
      <c r="IV25" s="90"/>
      <c r="IW25" s="90"/>
      <c r="IX25" s="90"/>
      <c r="IY25" s="90"/>
      <c r="IZ25" s="90"/>
      <c r="JA25" s="90"/>
      <c r="JB25" s="90"/>
      <c r="JC25" s="90"/>
      <c r="JD25" s="90"/>
      <c r="JE25" s="90"/>
      <c r="JF25" s="90"/>
      <c r="JG25" s="90"/>
      <c r="JH25" s="90"/>
      <c r="JI25" s="90"/>
      <c r="JJ25" s="90"/>
      <c r="JK25" s="90"/>
      <c r="JL25" s="90"/>
      <c r="JM25" s="90"/>
      <c r="JN25" s="90"/>
      <c r="JO25" s="90"/>
      <c r="JP25" s="90"/>
      <c r="JQ25" s="90"/>
      <c r="JR25" s="90"/>
      <c r="JS25" s="90"/>
      <c r="JT25" s="90"/>
      <c r="JU25" s="90"/>
      <c r="JV25" s="90"/>
      <c r="JW25" s="90"/>
      <c r="JX25" s="90"/>
      <c r="JY25" s="90"/>
      <c r="JZ25" s="90"/>
      <c r="KA25" s="90"/>
      <c r="KB25" s="90"/>
      <c r="KC25" s="90"/>
      <c r="KD25" s="90"/>
      <c r="KE25" s="90"/>
      <c r="KF25" s="90"/>
      <c r="KG25" s="90"/>
      <c r="KH25" s="90"/>
      <c r="KI25" s="90"/>
      <c r="KJ25" s="90"/>
      <c r="KK25" s="90"/>
      <c r="KL25" s="90"/>
      <c r="KM25" s="90"/>
      <c r="KN25" s="90"/>
      <c r="KO25" s="90"/>
      <c r="KP25" s="90"/>
      <c r="KQ25" s="90"/>
      <c r="KR25" s="90"/>
      <c r="KS25" s="90"/>
      <c r="KT25" s="90"/>
      <c r="KU25" s="90"/>
      <c r="KV25" s="90"/>
      <c r="KW25" s="90"/>
      <c r="KX25" s="90"/>
      <c r="KY25" s="90"/>
      <c r="KZ25" s="90"/>
      <c r="LA25" s="90"/>
      <c r="LB25" s="90"/>
      <c r="LC25" s="90"/>
      <c r="LD25" s="90"/>
      <c r="LE25" s="90"/>
      <c r="LF25" s="90"/>
      <c r="LG25" s="90"/>
      <c r="LH25" s="90"/>
      <c r="LI25" s="90"/>
      <c r="LJ25" s="90"/>
      <c r="LK25" s="90"/>
      <c r="LL25" s="90"/>
      <c r="LM25" s="90"/>
      <c r="LN25" s="90"/>
      <c r="LO25" s="90"/>
      <c r="LP25" s="90"/>
      <c r="LQ25" s="90"/>
      <c r="LR25" s="90"/>
      <c r="LS25" s="90"/>
      <c r="LT25" s="90"/>
      <c r="LU25" s="90"/>
      <c r="LV25" s="90"/>
      <c r="LW25" s="90"/>
      <c r="LX25" s="90"/>
      <c r="LY25" s="90"/>
      <c r="LZ25" s="90"/>
      <c r="MA25" s="90"/>
      <c r="MB25" s="90"/>
      <c r="MC25" s="90"/>
      <c r="MD25" s="90"/>
      <c r="ME25" s="90"/>
      <c r="MF25" s="90"/>
      <c r="MG25" s="90"/>
      <c r="MH25" s="90"/>
      <c r="MI25" s="90"/>
      <c r="MJ25" s="90"/>
      <c r="MK25" s="90"/>
      <c r="ML25" s="90"/>
      <c r="MM25" s="90"/>
      <c r="MN25" s="90"/>
      <c r="MO25" s="90"/>
      <c r="MP25" s="90"/>
      <c r="MQ25" s="90"/>
      <c r="MR25" s="90"/>
      <c r="MS25" s="90"/>
      <c r="MT25" s="90"/>
      <c r="MU25" s="90"/>
      <c r="MV25" s="90"/>
      <c r="MW25" s="90"/>
      <c r="MX25" s="90"/>
      <c r="MY25" s="90"/>
      <c r="MZ25" s="90"/>
      <c r="NA25" s="90"/>
      <c r="NB25" s="90"/>
      <c r="NC25" s="90"/>
      <c r="ND25" s="90"/>
      <c r="NE25" s="90"/>
      <c r="NF25" s="90"/>
      <c r="NG25" s="90"/>
      <c r="NH25" s="90"/>
      <c r="NI25" s="90"/>
      <c r="NJ25" s="90"/>
      <c r="NK25" s="90"/>
      <c r="NL25" s="90"/>
      <c r="NM25" s="90"/>
      <c r="NN25" s="90"/>
      <c r="NO25" s="90"/>
      <c r="NP25" s="90"/>
    </row>
    <row r="26" spans="1:380" s="91" customFormat="1" ht="22.9" customHeight="1">
      <c r="A26" s="82">
        <f t="shared" si="1"/>
        <v>15</v>
      </c>
      <c r="B26" s="83" t="s">
        <v>274</v>
      </c>
      <c r="C26" s="84">
        <f t="shared" si="2"/>
        <v>9054</v>
      </c>
      <c r="D26" s="88"/>
      <c r="E26" s="88"/>
      <c r="F26" s="85"/>
      <c r="G26" s="88"/>
      <c r="H26" s="88"/>
      <c r="I26" s="88"/>
      <c r="J26" s="88"/>
      <c r="K26" s="88">
        <v>9054</v>
      </c>
      <c r="L26" s="88"/>
      <c r="M26" s="88"/>
      <c r="N26" s="88"/>
      <c r="O26" s="88"/>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c r="GK26" s="90"/>
      <c r="GL26" s="90"/>
      <c r="GM26" s="90"/>
      <c r="GN26" s="90"/>
      <c r="GO26" s="90"/>
      <c r="GP26" s="90"/>
      <c r="GQ26" s="90"/>
      <c r="GR26" s="90"/>
      <c r="GS26" s="90"/>
      <c r="GT26" s="90"/>
      <c r="GU26" s="90"/>
      <c r="GV26" s="90"/>
      <c r="GW26" s="90"/>
      <c r="GX26" s="90"/>
      <c r="GY26" s="90"/>
      <c r="GZ26" s="90"/>
      <c r="HA26" s="90"/>
      <c r="HB26" s="90"/>
      <c r="HC26" s="90"/>
      <c r="HD26" s="90"/>
      <c r="HE26" s="90"/>
      <c r="HF26" s="90"/>
      <c r="HG26" s="90"/>
      <c r="HH26" s="90"/>
      <c r="HI26" s="90"/>
      <c r="HJ26" s="90"/>
      <c r="HK26" s="90"/>
      <c r="HL26" s="90"/>
      <c r="HM26" s="90"/>
      <c r="HN26" s="90"/>
      <c r="HO26" s="90"/>
      <c r="HP26" s="90"/>
      <c r="HQ26" s="90"/>
      <c r="HR26" s="90"/>
      <c r="HS26" s="90"/>
      <c r="HT26" s="90"/>
      <c r="HU26" s="90"/>
      <c r="HV26" s="90"/>
      <c r="HW26" s="90"/>
      <c r="HX26" s="90"/>
      <c r="HY26" s="90"/>
      <c r="HZ26" s="90"/>
      <c r="IA26" s="90"/>
      <c r="IB26" s="90"/>
      <c r="IC26" s="90"/>
      <c r="ID26" s="90"/>
      <c r="IE26" s="90"/>
      <c r="IF26" s="90"/>
      <c r="IG26" s="90"/>
      <c r="IH26" s="90"/>
      <c r="II26" s="90"/>
      <c r="IJ26" s="90"/>
      <c r="IK26" s="90"/>
      <c r="IL26" s="90"/>
      <c r="IM26" s="90"/>
      <c r="IN26" s="90"/>
      <c r="IO26" s="90"/>
      <c r="IP26" s="90"/>
      <c r="IQ26" s="90"/>
      <c r="IR26" s="90"/>
      <c r="IS26" s="90"/>
      <c r="IT26" s="90"/>
      <c r="IU26" s="90"/>
      <c r="IV26" s="90"/>
      <c r="IW26" s="90"/>
      <c r="IX26" s="90"/>
      <c r="IY26" s="90"/>
      <c r="IZ26" s="90"/>
      <c r="JA26" s="90"/>
      <c r="JB26" s="90"/>
      <c r="JC26" s="90"/>
      <c r="JD26" s="90"/>
      <c r="JE26" s="90"/>
      <c r="JF26" s="90"/>
      <c r="JG26" s="90"/>
      <c r="JH26" s="90"/>
      <c r="JI26" s="90"/>
      <c r="JJ26" s="90"/>
      <c r="JK26" s="90"/>
      <c r="JL26" s="90"/>
      <c r="JM26" s="90"/>
      <c r="JN26" s="90"/>
      <c r="JO26" s="90"/>
      <c r="JP26" s="90"/>
      <c r="JQ26" s="90"/>
      <c r="JR26" s="90"/>
      <c r="JS26" s="90"/>
      <c r="JT26" s="90"/>
      <c r="JU26" s="90"/>
      <c r="JV26" s="90"/>
      <c r="JW26" s="90"/>
      <c r="JX26" s="90"/>
      <c r="JY26" s="90"/>
      <c r="JZ26" s="90"/>
      <c r="KA26" s="90"/>
      <c r="KB26" s="90"/>
      <c r="KC26" s="90"/>
      <c r="KD26" s="90"/>
      <c r="KE26" s="90"/>
      <c r="KF26" s="90"/>
      <c r="KG26" s="90"/>
      <c r="KH26" s="90"/>
      <c r="KI26" s="90"/>
      <c r="KJ26" s="90"/>
      <c r="KK26" s="90"/>
      <c r="KL26" s="90"/>
      <c r="KM26" s="90"/>
      <c r="KN26" s="90"/>
      <c r="KO26" s="90"/>
      <c r="KP26" s="90"/>
      <c r="KQ26" s="90"/>
      <c r="KR26" s="90"/>
      <c r="KS26" s="90"/>
      <c r="KT26" s="90"/>
      <c r="KU26" s="90"/>
      <c r="KV26" s="90"/>
      <c r="KW26" s="90"/>
      <c r="KX26" s="90"/>
      <c r="KY26" s="90"/>
      <c r="KZ26" s="90"/>
      <c r="LA26" s="90"/>
      <c r="LB26" s="90"/>
      <c r="LC26" s="90"/>
      <c r="LD26" s="90"/>
      <c r="LE26" s="90"/>
      <c r="LF26" s="90"/>
      <c r="LG26" s="90"/>
      <c r="LH26" s="90"/>
      <c r="LI26" s="90"/>
      <c r="LJ26" s="90"/>
      <c r="LK26" s="90"/>
      <c r="LL26" s="90"/>
      <c r="LM26" s="90"/>
      <c r="LN26" s="90"/>
      <c r="LO26" s="90"/>
      <c r="LP26" s="90"/>
      <c r="LQ26" s="90"/>
      <c r="LR26" s="90"/>
      <c r="LS26" s="90"/>
      <c r="LT26" s="90"/>
      <c r="LU26" s="90"/>
      <c r="LV26" s="90"/>
      <c r="LW26" s="90"/>
      <c r="LX26" s="90"/>
      <c r="LY26" s="90"/>
      <c r="LZ26" s="90"/>
      <c r="MA26" s="90"/>
      <c r="MB26" s="90"/>
      <c r="MC26" s="90"/>
      <c r="MD26" s="90"/>
      <c r="ME26" s="90"/>
      <c r="MF26" s="90"/>
      <c r="MG26" s="90"/>
      <c r="MH26" s="90"/>
      <c r="MI26" s="90"/>
      <c r="MJ26" s="90"/>
      <c r="MK26" s="90"/>
      <c r="ML26" s="90"/>
      <c r="MM26" s="90"/>
      <c r="MN26" s="90"/>
      <c r="MO26" s="90"/>
      <c r="MP26" s="90"/>
      <c r="MQ26" s="90"/>
      <c r="MR26" s="90"/>
      <c r="MS26" s="90"/>
      <c r="MT26" s="90"/>
      <c r="MU26" s="90"/>
      <c r="MV26" s="90"/>
      <c r="MW26" s="90"/>
      <c r="MX26" s="90"/>
      <c r="MY26" s="90"/>
      <c r="MZ26" s="90"/>
      <c r="NA26" s="90"/>
      <c r="NB26" s="90"/>
      <c r="NC26" s="90"/>
      <c r="ND26" s="90"/>
      <c r="NE26" s="90"/>
      <c r="NF26" s="90"/>
      <c r="NG26" s="90"/>
      <c r="NH26" s="90"/>
      <c r="NI26" s="90"/>
      <c r="NJ26" s="90"/>
      <c r="NK26" s="90"/>
      <c r="NL26" s="90"/>
      <c r="NM26" s="90"/>
      <c r="NN26" s="90"/>
      <c r="NO26" s="90"/>
      <c r="NP26" s="90"/>
    </row>
    <row r="27" spans="1:380" s="86" customFormat="1" ht="22.9" customHeight="1">
      <c r="A27" s="82">
        <f t="shared" si="1"/>
        <v>16</v>
      </c>
      <c r="B27" s="83" t="s">
        <v>276</v>
      </c>
      <c r="C27" s="84">
        <f t="shared" si="2"/>
        <v>10600</v>
      </c>
      <c r="D27" s="88"/>
      <c r="E27" s="84"/>
      <c r="F27" s="85"/>
      <c r="G27" s="84"/>
      <c r="H27" s="84"/>
      <c r="I27" s="84"/>
      <c r="J27" s="84"/>
      <c r="K27" s="84">
        <v>10000</v>
      </c>
      <c r="L27" s="84"/>
      <c r="M27" s="84"/>
      <c r="N27" s="84">
        <v>600</v>
      </c>
      <c r="O27" s="84"/>
    </row>
    <row r="28" spans="1:380" s="86" customFormat="1" ht="22.9" customHeight="1">
      <c r="A28" s="82">
        <f t="shared" si="1"/>
        <v>17</v>
      </c>
      <c r="B28" s="83" t="s">
        <v>485</v>
      </c>
      <c r="C28" s="84">
        <f t="shared" si="2"/>
        <v>50000</v>
      </c>
      <c r="D28" s="88"/>
      <c r="E28" s="84"/>
      <c r="F28" s="85"/>
      <c r="G28" s="84"/>
      <c r="H28" s="84"/>
      <c r="I28" s="84"/>
      <c r="J28" s="84"/>
      <c r="K28" s="84">
        <v>50000</v>
      </c>
      <c r="L28" s="84"/>
      <c r="M28" s="84"/>
      <c r="N28" s="84"/>
      <c r="O28" s="84"/>
    </row>
    <row r="29" spans="1:380" s="86" customFormat="1" ht="22.9" customHeight="1">
      <c r="A29" s="82">
        <f t="shared" si="1"/>
        <v>18</v>
      </c>
      <c r="B29" s="83" t="s">
        <v>278</v>
      </c>
      <c r="C29" s="84">
        <f t="shared" si="2"/>
        <v>30000</v>
      </c>
      <c r="D29" s="88"/>
      <c r="E29" s="84"/>
      <c r="F29" s="85"/>
      <c r="G29" s="84"/>
      <c r="H29" s="84"/>
      <c r="I29" s="84"/>
      <c r="J29" s="84"/>
      <c r="K29" s="84">
        <v>30000</v>
      </c>
      <c r="L29" s="84"/>
      <c r="M29" s="84"/>
      <c r="N29" s="84"/>
      <c r="O29" s="84"/>
    </row>
    <row r="30" spans="1:380" s="87" customFormat="1" ht="22.9" customHeight="1">
      <c r="A30" s="82">
        <f t="shared" si="1"/>
        <v>19</v>
      </c>
      <c r="B30" s="83" t="s">
        <v>282</v>
      </c>
      <c r="C30" s="84">
        <f t="shared" si="2"/>
        <v>500</v>
      </c>
      <c r="D30" s="84"/>
      <c r="E30" s="84"/>
      <c r="F30" s="85"/>
      <c r="G30" s="84"/>
      <c r="H30" s="84"/>
      <c r="I30" s="84"/>
      <c r="J30" s="84"/>
      <c r="K30" s="84">
        <v>500</v>
      </c>
      <c r="L30" s="84"/>
      <c r="M30" s="84"/>
      <c r="N30" s="84"/>
      <c r="O30" s="84"/>
    </row>
    <row r="31" spans="1:380" s="86" customFormat="1" ht="22.9" customHeight="1">
      <c r="A31" s="82">
        <f t="shared" si="1"/>
        <v>20</v>
      </c>
      <c r="B31" s="83" t="s">
        <v>257</v>
      </c>
      <c r="C31" s="84">
        <f t="shared" si="2"/>
        <v>7665</v>
      </c>
      <c r="D31" s="84"/>
      <c r="E31" s="84">
        <v>7665</v>
      </c>
      <c r="F31" s="85"/>
      <c r="G31" s="84"/>
      <c r="H31" s="84"/>
      <c r="I31" s="84"/>
      <c r="J31" s="84"/>
      <c r="K31" s="84"/>
      <c r="L31" s="84"/>
      <c r="M31" s="84"/>
      <c r="N31" s="84"/>
      <c r="O31" s="84"/>
    </row>
    <row r="32" spans="1:380" s="87" customFormat="1" ht="22.9" customHeight="1">
      <c r="A32" s="82">
        <f t="shared" si="1"/>
        <v>21</v>
      </c>
      <c r="B32" s="83" t="s">
        <v>483</v>
      </c>
      <c r="C32" s="84">
        <f t="shared" si="2"/>
        <v>57864</v>
      </c>
      <c r="D32" s="84"/>
      <c r="E32" s="84">
        <v>50000</v>
      </c>
      <c r="F32" s="85"/>
      <c r="G32" s="84"/>
      <c r="H32" s="84"/>
      <c r="I32" s="84"/>
      <c r="J32" s="84"/>
      <c r="K32" s="84"/>
      <c r="L32" s="84"/>
      <c r="M32" s="84"/>
      <c r="N32" s="84">
        <v>7864</v>
      </c>
      <c r="O32" s="84"/>
    </row>
    <row r="33" spans="1:15" s="86" customFormat="1" ht="22.9" customHeight="1">
      <c r="A33" s="82">
        <f t="shared" si="1"/>
        <v>22</v>
      </c>
      <c r="B33" s="83" t="s">
        <v>299</v>
      </c>
      <c r="C33" s="84">
        <f t="shared" si="2"/>
        <v>90000</v>
      </c>
      <c r="D33" s="84"/>
      <c r="E33" s="84"/>
      <c r="F33" s="85"/>
      <c r="G33" s="84"/>
      <c r="H33" s="84"/>
      <c r="I33" s="84"/>
      <c r="J33" s="84"/>
      <c r="K33" s="84"/>
      <c r="L33" s="84"/>
      <c r="M33" s="84"/>
      <c r="N33" s="84"/>
      <c r="O33" s="84">
        <v>90000</v>
      </c>
    </row>
    <row r="34" spans="1:15" s="86" customFormat="1" ht="22.9" customHeight="1">
      <c r="A34" s="82">
        <f t="shared" si="1"/>
        <v>23</v>
      </c>
      <c r="B34" s="83" t="s">
        <v>484</v>
      </c>
      <c r="C34" s="84">
        <f t="shared" si="2"/>
        <v>421500</v>
      </c>
      <c r="D34" s="84"/>
      <c r="E34" s="84"/>
      <c r="F34" s="85">
        <v>187000</v>
      </c>
      <c r="G34" s="84"/>
      <c r="H34" s="84"/>
      <c r="I34" s="84"/>
      <c r="J34" s="84"/>
      <c r="K34" s="84">
        <f>'Bieu so 581'!T111+'Bieu so 581'!T112+'Bieu so 581'!T113+'Bieu so 581'!T114</f>
        <v>214500</v>
      </c>
      <c r="L34" s="84"/>
      <c r="M34" s="84"/>
      <c r="N34" s="84">
        <v>20000</v>
      </c>
      <c r="O34" s="84"/>
    </row>
    <row r="35" spans="1:15" s="68" customFormat="1">
      <c r="B35" s="70"/>
      <c r="C35" s="66"/>
      <c r="D35" s="66"/>
      <c r="E35" s="66"/>
      <c r="F35" s="66"/>
      <c r="G35" s="66"/>
      <c r="H35" s="66"/>
      <c r="I35" s="66"/>
      <c r="J35" s="66"/>
      <c r="K35" s="66"/>
      <c r="L35" s="66"/>
      <c r="M35" s="66"/>
      <c r="N35" s="66"/>
      <c r="O35" s="66"/>
    </row>
    <row r="36" spans="1:15" s="68" customFormat="1">
      <c r="B36" s="70"/>
      <c r="C36" s="66"/>
      <c r="D36" s="66"/>
      <c r="E36" s="66"/>
      <c r="F36" s="66"/>
      <c r="G36" s="66"/>
      <c r="H36" s="66"/>
      <c r="I36" s="66"/>
      <c r="J36" s="66"/>
      <c r="K36" s="66"/>
      <c r="L36" s="66"/>
      <c r="M36" s="66"/>
      <c r="N36" s="66"/>
      <c r="O36" s="66"/>
    </row>
    <row r="37" spans="1:15" s="68" customFormat="1">
      <c r="B37" s="70"/>
      <c r="C37" s="66"/>
      <c r="D37" s="66"/>
      <c r="E37" s="66"/>
      <c r="F37" s="66"/>
      <c r="G37" s="66"/>
      <c r="H37" s="66"/>
      <c r="I37" s="66"/>
      <c r="J37" s="66"/>
      <c r="K37" s="66"/>
      <c r="L37" s="66"/>
      <c r="M37" s="66"/>
      <c r="N37" s="66"/>
      <c r="O37" s="66"/>
    </row>
    <row r="38" spans="1:15" s="68" customFormat="1">
      <c r="B38" s="70"/>
      <c r="C38" s="66"/>
      <c r="D38" s="66"/>
      <c r="E38" s="66"/>
      <c r="F38" s="66"/>
      <c r="G38" s="66"/>
      <c r="H38" s="66"/>
      <c r="I38" s="66"/>
      <c r="J38" s="66"/>
      <c r="K38" s="66"/>
      <c r="L38" s="66"/>
      <c r="M38" s="66"/>
      <c r="N38" s="66"/>
      <c r="O38" s="66"/>
    </row>
    <row r="39" spans="1:15" s="68" customFormat="1">
      <c r="B39" s="70"/>
      <c r="C39" s="66"/>
      <c r="D39" s="66"/>
      <c r="E39" s="66"/>
      <c r="F39" s="66"/>
      <c r="G39" s="66"/>
      <c r="H39" s="66"/>
      <c r="I39" s="66"/>
      <c r="J39" s="66"/>
      <c r="K39" s="66"/>
      <c r="L39" s="66"/>
      <c r="M39" s="66"/>
      <c r="N39" s="66"/>
      <c r="O39" s="66"/>
    </row>
    <row r="40" spans="1:15" s="68" customFormat="1">
      <c r="B40" s="70"/>
      <c r="C40" s="66"/>
      <c r="D40" s="66"/>
      <c r="E40" s="66"/>
      <c r="F40" s="66"/>
      <c r="G40" s="66"/>
      <c r="H40" s="66"/>
      <c r="I40" s="66"/>
      <c r="J40" s="66"/>
      <c r="K40" s="66"/>
      <c r="L40" s="66"/>
      <c r="M40" s="66"/>
      <c r="N40" s="66"/>
      <c r="O40" s="66"/>
    </row>
    <row r="41" spans="1:15" s="68" customFormat="1">
      <c r="B41" s="70"/>
      <c r="C41" s="66"/>
      <c r="D41" s="66"/>
      <c r="E41" s="66"/>
      <c r="F41" s="66"/>
      <c r="G41" s="66"/>
      <c r="H41" s="66"/>
      <c r="I41" s="66"/>
      <c r="J41" s="66"/>
      <c r="K41" s="66"/>
      <c r="L41" s="66"/>
      <c r="M41" s="66"/>
      <c r="N41" s="66"/>
      <c r="O41" s="66"/>
    </row>
    <row r="42" spans="1:15" s="68" customFormat="1">
      <c r="B42" s="70"/>
      <c r="C42" s="66"/>
      <c r="D42" s="66"/>
      <c r="E42" s="66"/>
      <c r="F42" s="66"/>
      <c r="G42" s="66"/>
      <c r="H42" s="66"/>
      <c r="I42" s="66"/>
      <c r="J42" s="66"/>
      <c r="K42" s="66"/>
      <c r="L42" s="66"/>
      <c r="M42" s="66"/>
      <c r="N42" s="66"/>
      <c r="O42" s="66"/>
    </row>
    <row r="43" spans="1:15" s="68" customFormat="1">
      <c r="B43" s="70"/>
      <c r="C43" s="66"/>
      <c r="D43" s="66"/>
      <c r="E43" s="66"/>
      <c r="F43" s="66"/>
      <c r="G43" s="66"/>
      <c r="H43" s="66"/>
      <c r="I43" s="66"/>
      <c r="J43" s="66"/>
      <c r="K43" s="66"/>
      <c r="L43" s="66"/>
      <c r="M43" s="66"/>
      <c r="N43" s="66"/>
      <c r="O43" s="66"/>
    </row>
    <row r="44" spans="1:15" s="68" customFormat="1">
      <c r="B44" s="70"/>
      <c r="C44" s="66"/>
      <c r="D44" s="66"/>
      <c r="E44" s="66"/>
      <c r="F44" s="66"/>
      <c r="G44" s="66"/>
      <c r="H44" s="66"/>
      <c r="I44" s="66"/>
      <c r="J44" s="66"/>
      <c r="K44" s="66"/>
      <c r="L44" s="66"/>
      <c r="M44" s="66"/>
      <c r="N44" s="66"/>
      <c r="O44" s="66"/>
    </row>
    <row r="45" spans="1:15" s="68" customFormat="1">
      <c r="B45" s="70"/>
      <c r="C45" s="66"/>
      <c r="D45" s="66"/>
      <c r="E45" s="66"/>
      <c r="F45" s="66"/>
      <c r="G45" s="66"/>
      <c r="H45" s="66"/>
      <c r="I45" s="66"/>
      <c r="J45" s="66"/>
      <c r="K45" s="66"/>
      <c r="L45" s="66"/>
      <c r="M45" s="66"/>
      <c r="N45" s="66"/>
      <c r="O45" s="66"/>
    </row>
    <row r="46" spans="1:15" s="68" customFormat="1">
      <c r="B46" s="70"/>
      <c r="C46" s="66"/>
      <c r="D46" s="66"/>
      <c r="E46" s="66"/>
      <c r="F46" s="66"/>
      <c r="G46" s="66"/>
      <c r="H46" s="66"/>
      <c r="I46" s="66"/>
      <c r="J46" s="66"/>
      <c r="K46" s="66"/>
      <c r="L46" s="66"/>
      <c r="M46" s="66"/>
      <c r="N46" s="66"/>
      <c r="O46" s="66"/>
    </row>
    <row r="47" spans="1:15" s="68" customFormat="1">
      <c r="B47" s="70"/>
      <c r="C47" s="66"/>
      <c r="D47" s="66"/>
      <c r="E47" s="66"/>
      <c r="F47" s="66"/>
      <c r="G47" s="66"/>
      <c r="H47" s="66"/>
      <c r="I47" s="66"/>
      <c r="J47" s="66"/>
      <c r="K47" s="66"/>
      <c r="L47" s="66"/>
      <c r="M47" s="66"/>
      <c r="N47" s="66"/>
      <c r="O47" s="66"/>
    </row>
    <row r="48" spans="1:15" s="68" customFormat="1">
      <c r="B48" s="70"/>
      <c r="C48" s="66"/>
      <c r="D48" s="66"/>
      <c r="E48" s="66"/>
      <c r="F48" s="66"/>
      <c r="G48" s="66"/>
      <c r="H48" s="66"/>
      <c r="I48" s="66"/>
      <c r="J48" s="66"/>
      <c r="K48" s="66"/>
      <c r="L48" s="66"/>
      <c r="M48" s="66"/>
      <c r="N48" s="66"/>
      <c r="O48" s="66"/>
    </row>
    <row r="49" spans="2:15" s="68" customFormat="1">
      <c r="B49" s="70"/>
      <c r="C49" s="66"/>
      <c r="D49" s="66"/>
      <c r="E49" s="66"/>
      <c r="F49" s="66"/>
      <c r="G49" s="66"/>
      <c r="H49" s="66"/>
      <c r="I49" s="66"/>
      <c r="J49" s="66"/>
      <c r="K49" s="66"/>
      <c r="L49" s="66"/>
      <c r="M49" s="66"/>
      <c r="N49" s="66"/>
      <c r="O49" s="66"/>
    </row>
    <row r="50" spans="2:15" s="68" customFormat="1">
      <c r="B50" s="70"/>
      <c r="C50" s="66"/>
      <c r="D50" s="66"/>
      <c r="E50" s="66"/>
      <c r="F50" s="66"/>
      <c r="G50" s="66"/>
      <c r="H50" s="66"/>
      <c r="I50" s="66"/>
      <c r="J50" s="66"/>
      <c r="K50" s="66"/>
      <c r="L50" s="66"/>
      <c r="M50" s="66"/>
      <c r="N50" s="66"/>
      <c r="O50" s="66"/>
    </row>
    <row r="51" spans="2:15" s="68" customFormat="1">
      <c r="B51" s="70"/>
      <c r="C51" s="66"/>
      <c r="D51" s="66"/>
      <c r="E51" s="66"/>
      <c r="F51" s="66"/>
      <c r="G51" s="66"/>
      <c r="H51" s="66"/>
      <c r="I51" s="66"/>
      <c r="J51" s="66"/>
      <c r="K51" s="66"/>
      <c r="L51" s="66"/>
      <c r="M51" s="66"/>
      <c r="N51" s="66"/>
      <c r="O51" s="66"/>
    </row>
    <row r="52" spans="2:15" s="68" customFormat="1">
      <c r="B52" s="70"/>
      <c r="C52" s="66"/>
      <c r="D52" s="66"/>
      <c r="E52" s="66"/>
      <c r="F52" s="66"/>
      <c r="G52" s="66"/>
      <c r="H52" s="66"/>
      <c r="I52" s="66"/>
      <c r="J52" s="66"/>
      <c r="K52" s="66"/>
      <c r="L52" s="66"/>
      <c r="M52" s="66"/>
      <c r="N52" s="66"/>
      <c r="O52" s="66"/>
    </row>
    <row r="53" spans="2:15" s="68" customFormat="1">
      <c r="B53" s="70"/>
      <c r="C53" s="66"/>
      <c r="D53" s="66"/>
      <c r="E53" s="66"/>
      <c r="F53" s="66"/>
      <c r="G53" s="66"/>
      <c r="H53" s="66"/>
      <c r="I53" s="66"/>
      <c r="J53" s="66"/>
      <c r="K53" s="66"/>
      <c r="L53" s="66"/>
      <c r="M53" s="66"/>
      <c r="N53" s="66"/>
      <c r="O53" s="66"/>
    </row>
    <row r="54" spans="2:15" s="68" customFormat="1">
      <c r="B54" s="70"/>
      <c r="C54" s="66"/>
      <c r="D54" s="66"/>
      <c r="E54" s="66"/>
      <c r="F54" s="66"/>
      <c r="G54" s="66"/>
      <c r="H54" s="66"/>
      <c r="I54" s="66"/>
      <c r="J54" s="66"/>
      <c r="K54" s="66"/>
      <c r="L54" s="66"/>
      <c r="M54" s="66"/>
      <c r="N54" s="66"/>
      <c r="O54" s="66"/>
    </row>
    <row r="55" spans="2:15" s="68" customFormat="1">
      <c r="B55" s="70"/>
      <c r="C55" s="66"/>
      <c r="D55" s="66"/>
      <c r="E55" s="66"/>
      <c r="F55" s="66"/>
      <c r="G55" s="66"/>
      <c r="H55" s="66"/>
      <c r="I55" s="66"/>
      <c r="J55" s="66"/>
      <c r="K55" s="66"/>
      <c r="L55" s="66"/>
      <c r="M55" s="66"/>
      <c r="N55" s="66"/>
      <c r="O55" s="66"/>
    </row>
    <row r="56" spans="2:15" s="68" customFormat="1">
      <c r="B56" s="70"/>
      <c r="C56" s="66"/>
      <c r="D56" s="66"/>
      <c r="E56" s="66"/>
      <c r="F56" s="66"/>
      <c r="G56" s="66"/>
      <c r="H56" s="66"/>
      <c r="I56" s="66"/>
      <c r="J56" s="66"/>
      <c r="K56" s="66"/>
      <c r="L56" s="66"/>
      <c r="M56" s="66"/>
      <c r="N56" s="66"/>
      <c r="O56" s="66"/>
    </row>
    <row r="57" spans="2:15" s="68" customFormat="1">
      <c r="B57" s="70"/>
      <c r="C57" s="66"/>
      <c r="D57" s="66"/>
      <c r="E57" s="66"/>
      <c r="F57" s="66"/>
      <c r="G57" s="66"/>
      <c r="H57" s="66"/>
      <c r="I57" s="66"/>
      <c r="J57" s="66"/>
      <c r="K57" s="66"/>
      <c r="L57" s="66"/>
      <c r="M57" s="66"/>
      <c r="N57" s="66"/>
      <c r="O57" s="66"/>
    </row>
    <row r="58" spans="2:15" s="68" customFormat="1">
      <c r="B58" s="70"/>
      <c r="C58" s="66"/>
      <c r="D58" s="66"/>
      <c r="E58" s="66"/>
      <c r="F58" s="66"/>
      <c r="G58" s="66"/>
      <c r="H58" s="66"/>
      <c r="I58" s="66"/>
      <c r="J58" s="66"/>
      <c r="K58" s="66"/>
      <c r="L58" s="66"/>
      <c r="M58" s="66"/>
      <c r="N58" s="66"/>
      <c r="O58" s="66"/>
    </row>
    <row r="59" spans="2:15" s="68" customFormat="1">
      <c r="B59" s="70"/>
      <c r="C59" s="66"/>
      <c r="D59" s="66"/>
      <c r="E59" s="66"/>
      <c r="F59" s="66"/>
      <c r="G59" s="66"/>
      <c r="H59" s="66"/>
      <c r="I59" s="66"/>
      <c r="J59" s="66"/>
      <c r="K59" s="66"/>
      <c r="L59" s="66"/>
      <c r="M59" s="66"/>
      <c r="N59" s="66"/>
      <c r="O59" s="66"/>
    </row>
    <row r="60" spans="2:15" s="68" customFormat="1">
      <c r="B60" s="70"/>
      <c r="C60" s="66"/>
      <c r="D60" s="66"/>
      <c r="E60" s="66"/>
      <c r="F60" s="66"/>
      <c r="G60" s="66"/>
      <c r="H60" s="66"/>
      <c r="I60" s="66"/>
      <c r="J60" s="66"/>
      <c r="K60" s="66"/>
      <c r="L60" s="66"/>
      <c r="M60" s="66"/>
      <c r="N60" s="66"/>
      <c r="O60" s="66"/>
    </row>
    <row r="61" spans="2:15" s="68" customFormat="1">
      <c r="B61" s="70"/>
      <c r="C61" s="66"/>
      <c r="D61" s="66"/>
      <c r="E61" s="66"/>
      <c r="F61" s="66"/>
      <c r="G61" s="66"/>
      <c r="H61" s="66"/>
      <c r="I61" s="66"/>
      <c r="J61" s="66"/>
      <c r="K61" s="66"/>
      <c r="L61" s="66"/>
      <c r="M61" s="66"/>
      <c r="N61" s="66"/>
      <c r="O61" s="66"/>
    </row>
    <row r="62" spans="2:15" s="68" customFormat="1">
      <c r="B62" s="70"/>
      <c r="C62" s="66"/>
      <c r="D62" s="66"/>
      <c r="E62" s="66"/>
      <c r="F62" s="66"/>
      <c r="G62" s="66"/>
      <c r="H62" s="66"/>
      <c r="I62" s="66"/>
      <c r="J62" s="66"/>
      <c r="K62" s="66"/>
      <c r="L62" s="66"/>
      <c r="M62" s="66"/>
      <c r="N62" s="66"/>
      <c r="O62" s="66"/>
    </row>
    <row r="63" spans="2:15" s="68" customFormat="1">
      <c r="B63" s="70"/>
      <c r="C63" s="66"/>
      <c r="D63" s="66"/>
      <c r="E63" s="66"/>
      <c r="F63" s="66"/>
      <c r="G63" s="66"/>
      <c r="H63" s="66"/>
      <c r="I63" s="66"/>
      <c r="J63" s="66"/>
      <c r="K63" s="66"/>
      <c r="L63" s="66"/>
      <c r="M63" s="66"/>
      <c r="N63" s="66"/>
      <c r="O63" s="66"/>
    </row>
    <row r="64" spans="2:15" s="68" customFormat="1">
      <c r="B64" s="70"/>
      <c r="C64" s="66"/>
      <c r="D64" s="66"/>
      <c r="E64" s="66"/>
      <c r="F64" s="66"/>
      <c r="G64" s="66"/>
      <c r="H64" s="66"/>
      <c r="I64" s="66"/>
      <c r="J64" s="66"/>
      <c r="K64" s="66"/>
      <c r="L64" s="66"/>
      <c r="M64" s="66"/>
      <c r="N64" s="66"/>
      <c r="O64" s="66"/>
    </row>
  </sheetData>
  <mergeCells count="21">
    <mergeCell ref="M6:O6"/>
    <mergeCell ref="A1:B1"/>
    <mergeCell ref="A3:O3"/>
    <mergeCell ref="A4:O4"/>
    <mergeCell ref="A5:O5"/>
    <mergeCell ref="L1:O1"/>
    <mergeCell ref="J8:J9"/>
    <mergeCell ref="K8:K9"/>
    <mergeCell ref="N8:N9"/>
    <mergeCell ref="O8:O9"/>
    <mergeCell ref="A7:A9"/>
    <mergeCell ref="B7:B9"/>
    <mergeCell ref="C7:C9"/>
    <mergeCell ref="D7:O7"/>
    <mergeCell ref="L8:M8"/>
    <mergeCell ref="D8:D9"/>
    <mergeCell ref="E8:E9"/>
    <mergeCell ref="F8:F9"/>
    <mergeCell ref="G8:G9"/>
    <mergeCell ref="H8:H9"/>
    <mergeCell ref="I8:I9"/>
  </mergeCells>
  <pageMargins left="0.74803149606299213" right="0.35433070866141736" top="0.74803149606299213" bottom="0.51181102362204722" header="0.31496062992125984" footer="0.31496062992125984"/>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X45"/>
  <sheetViews>
    <sheetView workbookViewId="0">
      <selection activeCell="H8" sqref="H8"/>
    </sheetView>
  </sheetViews>
  <sheetFormatPr defaultColWidth="9.140625" defaultRowHeight="15.75"/>
  <cols>
    <col min="1" max="1" width="5.28515625" style="210" customWidth="1"/>
    <col min="2" max="2" width="35.42578125" style="207" customWidth="1"/>
    <col min="3" max="3" width="11.7109375" style="208" customWidth="1"/>
    <col min="4" max="4" width="9.7109375" style="208" customWidth="1"/>
    <col min="5" max="5" width="8.7109375" style="208" customWidth="1"/>
    <col min="6" max="6" width="8.42578125" style="208" customWidth="1"/>
    <col min="7" max="7" width="9.140625" style="208" customWidth="1"/>
    <col min="8" max="8" width="10" style="208" customWidth="1"/>
    <col min="9" max="9" width="8.7109375" style="208" customWidth="1"/>
    <col min="10" max="10" width="8.42578125" style="208" customWidth="1"/>
    <col min="11" max="11" width="8.140625" style="208" customWidth="1"/>
    <col min="12" max="12" width="9.140625" style="208" customWidth="1"/>
    <col min="13" max="13" width="11.85546875" style="208" customWidth="1"/>
    <col min="14" max="14" width="9.5703125" style="208" customWidth="1"/>
    <col min="15" max="15" width="8.42578125" style="208" customWidth="1"/>
    <col min="16" max="16" width="8.7109375" style="208" customWidth="1"/>
    <col min="17" max="17" width="10.140625" style="208" customWidth="1"/>
    <col min="18" max="18" width="9.140625" style="558"/>
    <col min="19" max="19" width="14.85546875" style="558" bestFit="1" customWidth="1"/>
    <col min="20" max="20" width="9.140625" style="558"/>
    <col min="21" max="21" width="11.85546875" style="558" bestFit="1" customWidth="1"/>
    <col min="22" max="22" width="9.5703125" style="558" bestFit="1" customWidth="1"/>
    <col min="23" max="24" width="9.140625" style="558"/>
    <col min="25" max="16384" width="9.140625" style="210"/>
  </cols>
  <sheetData>
    <row r="1" spans="1:24">
      <c r="A1" s="206" t="s">
        <v>1629</v>
      </c>
      <c r="L1" s="749" t="s">
        <v>375</v>
      </c>
      <c r="M1" s="749"/>
      <c r="N1" s="749"/>
      <c r="O1" s="749"/>
      <c r="P1" s="749"/>
      <c r="Q1" s="209"/>
    </row>
    <row r="2" spans="1:24">
      <c r="L2" s="211"/>
      <c r="M2" s="211"/>
      <c r="N2" s="211"/>
      <c r="O2" s="211"/>
      <c r="P2" s="212"/>
      <c r="Q2" s="212"/>
    </row>
    <row r="3" spans="1:24">
      <c r="A3" s="750" t="s">
        <v>938</v>
      </c>
      <c r="B3" s="750"/>
      <c r="C3" s="750"/>
      <c r="D3" s="750"/>
      <c r="E3" s="750"/>
      <c r="F3" s="750"/>
      <c r="G3" s="750"/>
      <c r="H3" s="750"/>
      <c r="I3" s="750"/>
      <c r="J3" s="750"/>
      <c r="K3" s="750"/>
      <c r="L3" s="750"/>
      <c r="M3" s="750"/>
      <c r="N3" s="750"/>
      <c r="O3" s="750"/>
      <c r="P3" s="750"/>
      <c r="Q3" s="213"/>
    </row>
    <row r="4" spans="1:24">
      <c r="A4" s="751" t="s">
        <v>517</v>
      </c>
      <c r="B4" s="751"/>
      <c r="C4" s="751"/>
      <c r="D4" s="751"/>
      <c r="E4" s="751"/>
      <c r="F4" s="751"/>
      <c r="G4" s="751"/>
      <c r="H4" s="751"/>
      <c r="I4" s="751"/>
      <c r="J4" s="751"/>
      <c r="K4" s="751"/>
      <c r="L4" s="751"/>
      <c r="M4" s="751"/>
      <c r="N4" s="751"/>
      <c r="O4" s="751"/>
      <c r="P4" s="751"/>
      <c r="Q4" s="214"/>
    </row>
    <row r="5" spans="1:24">
      <c r="L5" s="210"/>
      <c r="M5" s="215"/>
      <c r="N5" s="752" t="s">
        <v>64</v>
      </c>
      <c r="O5" s="752"/>
      <c r="P5" s="752"/>
      <c r="Q5" s="216"/>
    </row>
    <row r="6" spans="1:24" s="213" customFormat="1">
      <c r="A6" s="753" t="s">
        <v>2</v>
      </c>
      <c r="B6" s="753" t="s">
        <v>3</v>
      </c>
      <c r="C6" s="753" t="s">
        <v>27</v>
      </c>
      <c r="D6" s="754" t="s">
        <v>96</v>
      </c>
      <c r="E6" s="754"/>
      <c r="F6" s="754"/>
      <c r="G6" s="754"/>
      <c r="H6" s="754"/>
      <c r="I6" s="754"/>
      <c r="J6" s="754"/>
      <c r="K6" s="754"/>
      <c r="L6" s="754"/>
      <c r="M6" s="754"/>
      <c r="N6" s="754"/>
      <c r="O6" s="754"/>
      <c r="P6" s="754"/>
      <c r="Q6" s="218"/>
      <c r="R6" s="559"/>
      <c r="S6" s="559"/>
      <c r="T6" s="559"/>
      <c r="U6" s="559"/>
      <c r="V6" s="559"/>
      <c r="W6" s="559"/>
      <c r="X6" s="559"/>
    </row>
    <row r="7" spans="1:24" s="213" customFormat="1" ht="110.25">
      <c r="A7" s="753" t="s">
        <v>65</v>
      </c>
      <c r="B7" s="753" t="s">
        <v>58</v>
      </c>
      <c r="C7" s="753"/>
      <c r="D7" s="217" t="s">
        <v>518</v>
      </c>
      <c r="E7" s="217" t="s">
        <v>519</v>
      </c>
      <c r="F7" s="217" t="s">
        <v>520</v>
      </c>
      <c r="G7" s="217" t="s">
        <v>232</v>
      </c>
      <c r="H7" s="217" t="s">
        <v>239</v>
      </c>
      <c r="I7" s="217" t="s">
        <v>521</v>
      </c>
      <c r="J7" s="217" t="s">
        <v>522</v>
      </c>
      <c r="K7" s="217" t="s">
        <v>242</v>
      </c>
      <c r="L7" s="217" t="s">
        <v>243</v>
      </c>
      <c r="M7" s="217" t="s">
        <v>244</v>
      </c>
      <c r="N7" s="217" t="s">
        <v>523</v>
      </c>
      <c r="O7" s="217" t="s">
        <v>524</v>
      </c>
      <c r="P7" s="217" t="s">
        <v>525</v>
      </c>
      <c r="Q7" s="217" t="s">
        <v>526</v>
      </c>
      <c r="R7" s="559"/>
      <c r="S7" s="559"/>
      <c r="T7" s="559"/>
      <c r="U7" s="559"/>
      <c r="V7" s="559"/>
      <c r="W7" s="559"/>
      <c r="X7" s="559"/>
    </row>
    <row r="8" spans="1:24" s="223" customFormat="1">
      <c r="A8" s="476"/>
      <c r="B8" s="477" t="s">
        <v>387</v>
      </c>
      <c r="C8" s="478">
        <f>SUM(D8:Q8)</f>
        <v>8573332.4000000004</v>
      </c>
      <c r="D8" s="478">
        <f t="shared" ref="D8:Q8" si="0">SUM(D9:D45)</f>
        <v>50800</v>
      </c>
      <c r="E8" s="478">
        <f t="shared" si="0"/>
        <v>5000</v>
      </c>
      <c r="F8" s="478">
        <f t="shared" si="0"/>
        <v>292172</v>
      </c>
      <c r="G8" s="478">
        <f t="shared" si="0"/>
        <v>0</v>
      </c>
      <c r="H8" s="478">
        <f t="shared" si="0"/>
        <v>43200</v>
      </c>
      <c r="I8" s="478">
        <f t="shared" si="0"/>
        <v>0</v>
      </c>
      <c r="J8" s="478">
        <f t="shared" si="0"/>
        <v>0</v>
      </c>
      <c r="K8" s="478">
        <f t="shared" si="0"/>
        <v>0</v>
      </c>
      <c r="L8" s="478">
        <f t="shared" si="0"/>
        <v>2600</v>
      </c>
      <c r="M8" s="478">
        <f t="shared" si="0"/>
        <v>3976484.4</v>
      </c>
      <c r="N8" s="478">
        <f t="shared" si="0"/>
        <v>208959</v>
      </c>
      <c r="O8" s="478">
        <f t="shared" si="0"/>
        <v>0</v>
      </c>
      <c r="P8" s="478">
        <f t="shared" si="0"/>
        <v>0</v>
      </c>
      <c r="Q8" s="478">
        <f t="shared" si="0"/>
        <v>3994117</v>
      </c>
      <c r="R8" s="560"/>
      <c r="S8" s="560"/>
      <c r="T8" s="560"/>
      <c r="U8" s="560"/>
      <c r="V8" s="560"/>
      <c r="W8" s="560"/>
      <c r="X8" s="560"/>
    </row>
    <row r="9" spans="1:24">
      <c r="A9" s="479">
        <v>1</v>
      </c>
      <c r="B9" s="480" t="s">
        <v>122</v>
      </c>
      <c r="C9" s="481">
        <f>SUM(D9:Q9)</f>
        <v>40500</v>
      </c>
      <c r="D9" s="481">
        <f>'[6]Bieu so 58'!Q12</f>
        <v>40500</v>
      </c>
      <c r="E9" s="481"/>
      <c r="F9" s="481"/>
      <c r="G9" s="481"/>
      <c r="H9" s="481"/>
      <c r="I9" s="481"/>
      <c r="J9" s="481"/>
      <c r="K9" s="481"/>
      <c r="L9" s="481"/>
      <c r="M9" s="481"/>
      <c r="N9" s="481"/>
      <c r="O9" s="481"/>
      <c r="P9" s="481"/>
      <c r="Q9" s="481"/>
      <c r="R9" s="558" t="s">
        <v>905</v>
      </c>
      <c r="S9" s="561">
        <f>'[7]Bieu TH 01'!$AC$9-C8</f>
        <v>193440.59999999963</v>
      </c>
    </row>
    <row r="10" spans="1:24">
      <c r="A10" s="479">
        <v>2</v>
      </c>
      <c r="B10" s="480" t="s">
        <v>906</v>
      </c>
      <c r="C10" s="481">
        <f>SUM(D10:Q10)</f>
        <v>10300</v>
      </c>
      <c r="D10" s="481">
        <f>'[6]Bieu so 58'!Q17</f>
        <v>10300</v>
      </c>
      <c r="E10" s="481"/>
      <c r="F10" s="481"/>
      <c r="G10" s="481"/>
      <c r="H10" s="481"/>
      <c r="I10" s="481"/>
      <c r="J10" s="481"/>
      <c r="K10" s="481"/>
      <c r="L10" s="481"/>
      <c r="M10" s="481"/>
      <c r="N10" s="481"/>
      <c r="O10" s="481"/>
      <c r="P10" s="481"/>
      <c r="Q10" s="481"/>
      <c r="R10" s="558" t="s">
        <v>905</v>
      </c>
    </row>
    <row r="11" spans="1:24">
      <c r="A11" s="479">
        <v>2</v>
      </c>
      <c r="B11" s="480" t="s">
        <v>253</v>
      </c>
      <c r="C11" s="481">
        <f t="shared" ref="C11:C45" si="1">SUM(D11:Q11)</f>
        <v>5000</v>
      </c>
      <c r="D11" s="481"/>
      <c r="E11" s="481">
        <f>'[6]Bieu so 58'!Q21</f>
        <v>5000</v>
      </c>
      <c r="F11" s="481"/>
      <c r="G11" s="481"/>
      <c r="H11" s="481"/>
      <c r="I11" s="481"/>
      <c r="J11" s="481"/>
      <c r="K11" s="481"/>
      <c r="L11" s="481"/>
      <c r="M11" s="481"/>
      <c r="N11" s="481"/>
      <c r="O11" s="481"/>
      <c r="P11" s="481"/>
      <c r="Q11" s="481"/>
      <c r="R11" s="558" t="s">
        <v>905</v>
      </c>
    </row>
    <row r="12" spans="1:24">
      <c r="A12" s="479">
        <v>3</v>
      </c>
      <c r="B12" s="480" t="s">
        <v>907</v>
      </c>
      <c r="C12" s="481">
        <f t="shared" si="1"/>
        <v>9500</v>
      </c>
      <c r="D12" s="481"/>
      <c r="E12" s="481"/>
      <c r="F12" s="481"/>
      <c r="G12" s="481"/>
      <c r="H12" s="481"/>
      <c r="I12" s="481"/>
      <c r="J12" s="481"/>
      <c r="K12" s="481"/>
      <c r="L12" s="481"/>
      <c r="M12" s="481"/>
      <c r="N12" s="481">
        <f>'[6]Bieu so 58'!Q394</f>
        <v>9500</v>
      </c>
      <c r="O12" s="481"/>
      <c r="P12" s="481"/>
      <c r="Q12" s="481"/>
      <c r="R12" s="558" t="s">
        <v>905</v>
      </c>
    </row>
    <row r="13" spans="1:24">
      <c r="A13" s="479">
        <v>4</v>
      </c>
      <c r="B13" s="480" t="s">
        <v>908</v>
      </c>
      <c r="C13" s="481">
        <f t="shared" si="1"/>
        <v>465</v>
      </c>
      <c r="D13" s="481"/>
      <c r="E13" s="481"/>
      <c r="F13" s="481"/>
      <c r="G13" s="481"/>
      <c r="H13" s="481"/>
      <c r="I13" s="481"/>
      <c r="J13" s="481"/>
      <c r="K13" s="481"/>
      <c r="L13" s="481"/>
      <c r="M13" s="481"/>
      <c r="N13" s="481">
        <f>'[6]Bieu so 58'!Q396</f>
        <v>465</v>
      </c>
      <c r="O13" s="481"/>
      <c r="P13" s="481"/>
      <c r="Q13" s="481"/>
      <c r="R13" s="558" t="s">
        <v>905</v>
      </c>
    </row>
    <row r="14" spans="1:24">
      <c r="A14" s="479">
        <v>5</v>
      </c>
      <c r="B14" s="480" t="s">
        <v>909</v>
      </c>
      <c r="C14" s="481">
        <f t="shared" si="1"/>
        <v>510</v>
      </c>
      <c r="D14" s="481"/>
      <c r="E14" s="481"/>
      <c r="F14" s="481"/>
      <c r="G14" s="481"/>
      <c r="H14" s="481"/>
      <c r="I14" s="481"/>
      <c r="J14" s="481"/>
      <c r="K14" s="481"/>
      <c r="L14" s="481"/>
      <c r="M14" s="481">
        <f>'[6]Bieu so 58'!Q337</f>
        <v>510</v>
      </c>
      <c r="N14" s="481"/>
      <c r="O14" s="481"/>
      <c r="P14" s="481"/>
      <c r="Q14" s="481"/>
      <c r="R14" s="558" t="s">
        <v>905</v>
      </c>
    </row>
    <row r="15" spans="1:24">
      <c r="A15" s="479">
        <v>6</v>
      </c>
      <c r="B15" s="480" t="s">
        <v>910</v>
      </c>
      <c r="C15" s="481">
        <f t="shared" si="1"/>
        <v>527</v>
      </c>
      <c r="D15" s="481"/>
      <c r="E15" s="481"/>
      <c r="F15" s="481"/>
      <c r="G15" s="481"/>
      <c r="H15" s="481"/>
      <c r="I15" s="481"/>
      <c r="J15" s="481"/>
      <c r="K15" s="481"/>
      <c r="L15" s="481"/>
      <c r="M15" s="481">
        <f>'[6]Bieu so 58'!Q339</f>
        <v>527</v>
      </c>
      <c r="N15" s="481"/>
      <c r="O15" s="481"/>
      <c r="P15" s="481"/>
      <c r="Q15" s="481"/>
      <c r="R15" s="558" t="s">
        <v>905</v>
      </c>
    </row>
    <row r="16" spans="1:24">
      <c r="A16" s="479">
        <v>7</v>
      </c>
      <c r="B16" s="480" t="s">
        <v>911</v>
      </c>
      <c r="C16" s="481">
        <f t="shared" si="1"/>
        <v>20000</v>
      </c>
      <c r="D16" s="481"/>
      <c r="E16" s="481"/>
      <c r="F16" s="481">
        <f>'[6]Bieu so 58'!Q25</f>
        <v>20000</v>
      </c>
      <c r="G16" s="481"/>
      <c r="H16" s="481"/>
      <c r="I16" s="481"/>
      <c r="J16" s="481"/>
      <c r="K16" s="481"/>
      <c r="L16" s="481"/>
      <c r="M16" s="481"/>
      <c r="N16" s="481"/>
      <c r="O16" s="481"/>
      <c r="P16" s="481"/>
      <c r="Q16" s="481"/>
      <c r="R16" s="558" t="s">
        <v>905</v>
      </c>
    </row>
    <row r="17" spans="1:23">
      <c r="A17" s="479">
        <v>8</v>
      </c>
      <c r="B17" s="480" t="s">
        <v>912</v>
      </c>
      <c r="C17" s="481">
        <f t="shared" si="1"/>
        <v>186000</v>
      </c>
      <c r="D17" s="481"/>
      <c r="E17" s="481"/>
      <c r="F17" s="481"/>
      <c r="G17" s="481"/>
      <c r="H17" s="481"/>
      <c r="I17" s="481"/>
      <c r="J17" s="481"/>
      <c r="K17" s="481"/>
      <c r="L17" s="481"/>
      <c r="M17" s="481">
        <f>'[6]Bieu so 58'!Q98</f>
        <v>186000</v>
      </c>
      <c r="N17" s="481"/>
      <c r="O17" s="481"/>
      <c r="P17" s="481"/>
      <c r="Q17" s="481"/>
      <c r="R17" s="558" t="s">
        <v>905</v>
      </c>
    </row>
    <row r="18" spans="1:23">
      <c r="A18" s="479">
        <v>9</v>
      </c>
      <c r="B18" s="480" t="s">
        <v>536</v>
      </c>
      <c r="C18" s="481">
        <f t="shared" si="1"/>
        <v>57539</v>
      </c>
      <c r="D18" s="481"/>
      <c r="E18" s="481"/>
      <c r="F18" s="481"/>
      <c r="G18" s="481"/>
      <c r="H18" s="481"/>
      <c r="I18" s="481"/>
      <c r="J18" s="481"/>
      <c r="K18" s="481"/>
      <c r="L18" s="481"/>
      <c r="M18" s="481">
        <f>'[6]Bieu so 58'!Q101</f>
        <v>57539</v>
      </c>
      <c r="N18" s="481"/>
      <c r="O18" s="481"/>
      <c r="P18" s="481"/>
      <c r="Q18" s="481"/>
      <c r="R18" s="558" t="s">
        <v>905</v>
      </c>
    </row>
    <row r="19" spans="1:23">
      <c r="A19" s="479">
        <v>10</v>
      </c>
      <c r="B19" s="480" t="s">
        <v>913</v>
      </c>
      <c r="C19" s="481">
        <f t="shared" si="1"/>
        <v>48900</v>
      </c>
      <c r="D19" s="481"/>
      <c r="E19" s="481"/>
      <c r="F19" s="481"/>
      <c r="G19" s="481"/>
      <c r="H19" s="481"/>
      <c r="I19" s="481"/>
      <c r="J19" s="481"/>
      <c r="K19" s="481"/>
      <c r="L19" s="481"/>
      <c r="M19" s="481">
        <f>'[6]Bieu so 58'!Q107</f>
        <v>48900</v>
      </c>
      <c r="N19" s="481"/>
      <c r="O19" s="481"/>
      <c r="P19" s="481"/>
      <c r="Q19" s="481"/>
      <c r="R19" s="558" t="s">
        <v>905</v>
      </c>
    </row>
    <row r="20" spans="1:23">
      <c r="A20" s="479">
        <v>11</v>
      </c>
      <c r="B20" s="480" t="s">
        <v>914</v>
      </c>
      <c r="C20" s="481">
        <f t="shared" si="1"/>
        <v>6571</v>
      </c>
      <c r="D20" s="481"/>
      <c r="E20" s="481"/>
      <c r="F20" s="481"/>
      <c r="G20" s="481"/>
      <c r="H20" s="481"/>
      <c r="I20" s="481"/>
      <c r="J20" s="481"/>
      <c r="K20" s="481"/>
      <c r="L20" s="481"/>
      <c r="M20" s="481">
        <f>'[6]Bieu so 58'!Q110</f>
        <v>6571</v>
      </c>
      <c r="N20" s="481"/>
      <c r="O20" s="481"/>
      <c r="P20" s="481"/>
      <c r="Q20" s="481"/>
      <c r="R20" s="558" t="s">
        <v>905</v>
      </c>
    </row>
    <row r="21" spans="1:23">
      <c r="A21" s="479">
        <v>12</v>
      </c>
      <c r="B21" s="480" t="s">
        <v>915</v>
      </c>
      <c r="C21" s="481">
        <f t="shared" si="1"/>
        <v>1100</v>
      </c>
      <c r="D21" s="481"/>
      <c r="E21" s="481"/>
      <c r="F21" s="481"/>
      <c r="G21" s="481"/>
      <c r="H21" s="481"/>
      <c r="I21" s="481"/>
      <c r="J21" s="481"/>
      <c r="K21" s="481"/>
      <c r="L21" s="481"/>
      <c r="M21" s="481">
        <f>'[6]Bieu so 58'!Q113</f>
        <v>500</v>
      </c>
      <c r="N21" s="481">
        <f>'[6]Bieu so 58'!Q357</f>
        <v>600</v>
      </c>
      <c r="O21" s="481"/>
      <c r="P21" s="481"/>
      <c r="Q21" s="481"/>
      <c r="R21" s="558" t="s">
        <v>905</v>
      </c>
    </row>
    <row r="22" spans="1:23">
      <c r="A22" s="479">
        <v>13</v>
      </c>
      <c r="B22" s="480" t="s">
        <v>717</v>
      </c>
      <c r="C22" s="481">
        <f t="shared" si="1"/>
        <v>10000</v>
      </c>
      <c r="D22" s="481"/>
      <c r="E22" s="481"/>
      <c r="F22" s="481"/>
      <c r="G22" s="481"/>
      <c r="H22" s="481"/>
      <c r="I22" s="481"/>
      <c r="J22" s="481"/>
      <c r="K22" s="481"/>
      <c r="L22" s="481"/>
      <c r="M22" s="481"/>
      <c r="N22" s="481">
        <f>'[6]Bieu so 58'!Q353</f>
        <v>10000</v>
      </c>
      <c r="O22" s="481"/>
      <c r="P22" s="481"/>
      <c r="Q22" s="481"/>
      <c r="R22" s="558" t="s">
        <v>905</v>
      </c>
    </row>
    <row r="23" spans="1:23">
      <c r="A23" s="479">
        <v>14</v>
      </c>
      <c r="B23" s="480" t="s">
        <v>916</v>
      </c>
      <c r="C23" s="481">
        <f t="shared" si="1"/>
        <v>16</v>
      </c>
      <c r="D23" s="481"/>
      <c r="E23" s="481"/>
      <c r="F23" s="481"/>
      <c r="G23" s="481"/>
      <c r="H23" s="481"/>
      <c r="I23" s="481"/>
      <c r="J23" s="481"/>
      <c r="K23" s="481"/>
      <c r="L23" s="481"/>
      <c r="M23" s="481"/>
      <c r="N23" s="481">
        <f>'[6]Bieu so 58'!Q344</f>
        <v>16</v>
      </c>
      <c r="O23" s="481"/>
      <c r="P23" s="481"/>
      <c r="Q23" s="481"/>
      <c r="R23" s="558" t="s">
        <v>905</v>
      </c>
    </row>
    <row r="24" spans="1:23">
      <c r="A24" s="479">
        <v>15</v>
      </c>
      <c r="B24" s="480" t="s">
        <v>721</v>
      </c>
      <c r="C24" s="481">
        <f t="shared" si="1"/>
        <v>3500</v>
      </c>
      <c r="D24" s="481"/>
      <c r="E24" s="481"/>
      <c r="F24" s="481"/>
      <c r="G24" s="481"/>
      <c r="H24" s="481"/>
      <c r="I24" s="481"/>
      <c r="J24" s="481"/>
      <c r="K24" s="481"/>
      <c r="L24" s="481"/>
      <c r="M24" s="481"/>
      <c r="N24" s="481">
        <f>'[6]Bieu so 58'!Q349</f>
        <v>3500</v>
      </c>
      <c r="O24" s="481"/>
      <c r="P24" s="481"/>
      <c r="Q24" s="481"/>
      <c r="R24" s="558" t="s">
        <v>905</v>
      </c>
    </row>
    <row r="25" spans="1:23">
      <c r="A25" s="479">
        <v>16</v>
      </c>
      <c r="B25" s="480" t="s">
        <v>917</v>
      </c>
      <c r="C25" s="481">
        <f t="shared" si="1"/>
        <v>1500</v>
      </c>
      <c r="D25" s="481"/>
      <c r="E25" s="481"/>
      <c r="F25" s="481"/>
      <c r="G25" s="481"/>
      <c r="H25" s="481"/>
      <c r="I25" s="481"/>
      <c r="J25" s="481"/>
      <c r="K25" s="481"/>
      <c r="L25" s="481"/>
      <c r="M25" s="481"/>
      <c r="N25" s="481">
        <f>'[6]Bieu so 58'!Q351</f>
        <v>1500</v>
      </c>
      <c r="O25" s="481"/>
      <c r="P25" s="481"/>
      <c r="Q25" s="481"/>
      <c r="R25" s="558" t="s">
        <v>905</v>
      </c>
    </row>
    <row r="26" spans="1:23">
      <c r="A26" s="479">
        <v>17</v>
      </c>
      <c r="B26" s="480" t="s">
        <v>918</v>
      </c>
      <c r="C26" s="481">
        <f t="shared" si="1"/>
        <v>606</v>
      </c>
      <c r="D26" s="481"/>
      <c r="E26" s="481"/>
      <c r="F26" s="481"/>
      <c r="G26" s="481"/>
      <c r="H26" s="481"/>
      <c r="I26" s="481"/>
      <c r="J26" s="481"/>
      <c r="K26" s="481"/>
      <c r="L26" s="481"/>
      <c r="M26" s="481"/>
      <c r="N26" s="481">
        <f>'[6]Bieu so 58'!Q342</f>
        <v>606</v>
      </c>
      <c r="O26" s="481"/>
      <c r="P26" s="481"/>
      <c r="Q26" s="481"/>
      <c r="R26" s="558" t="s">
        <v>905</v>
      </c>
    </row>
    <row r="27" spans="1:23">
      <c r="A27" s="479">
        <v>18</v>
      </c>
      <c r="B27" s="480" t="s">
        <v>919</v>
      </c>
      <c r="C27" s="481">
        <f t="shared" si="1"/>
        <v>24000</v>
      </c>
      <c r="D27" s="481"/>
      <c r="E27" s="481"/>
      <c r="F27" s="481"/>
      <c r="G27" s="481"/>
      <c r="H27" s="481"/>
      <c r="I27" s="481"/>
      <c r="J27" s="481"/>
      <c r="K27" s="481"/>
      <c r="L27" s="481"/>
      <c r="M27" s="481"/>
      <c r="N27" s="481">
        <f>'[6]Bieu so 58'!Q346</f>
        <v>24000</v>
      </c>
      <c r="O27" s="481"/>
      <c r="P27" s="481"/>
      <c r="Q27" s="481"/>
      <c r="R27" s="558" t="s">
        <v>905</v>
      </c>
    </row>
    <row r="28" spans="1:23">
      <c r="A28" s="479">
        <v>19</v>
      </c>
      <c r="B28" s="480" t="s">
        <v>920</v>
      </c>
      <c r="C28" s="481">
        <f t="shared" si="1"/>
        <v>1914</v>
      </c>
      <c r="D28" s="481"/>
      <c r="E28" s="481"/>
      <c r="F28" s="481"/>
      <c r="G28" s="481"/>
      <c r="H28" s="481"/>
      <c r="I28" s="481"/>
      <c r="J28" s="481"/>
      <c r="K28" s="481"/>
      <c r="L28" s="481"/>
      <c r="M28" s="481"/>
      <c r="N28" s="481">
        <f>'[6]Bieu so 58'!Q355</f>
        <v>1914</v>
      </c>
      <c r="O28" s="481"/>
      <c r="P28" s="481"/>
      <c r="Q28" s="481"/>
      <c r="R28" s="558" t="s">
        <v>905</v>
      </c>
    </row>
    <row r="29" spans="1:23" ht="31.5">
      <c r="A29" s="479">
        <v>20</v>
      </c>
      <c r="B29" s="480" t="s">
        <v>921</v>
      </c>
      <c r="C29" s="481">
        <f t="shared" si="1"/>
        <v>619264</v>
      </c>
      <c r="D29" s="481"/>
      <c r="E29" s="481"/>
      <c r="F29" s="481">
        <f>'[6]Bieu so 58'!Q27</f>
        <v>95588</v>
      </c>
      <c r="G29" s="481"/>
      <c r="H29" s="481">
        <f>'[6]Bieu so 58'!Q83</f>
        <v>42700</v>
      </c>
      <c r="I29" s="481"/>
      <c r="J29" s="481"/>
      <c r="K29" s="481"/>
      <c r="L29" s="481">
        <f>'[6]Bieu so 58'!Q93</f>
        <v>2600</v>
      </c>
      <c r="M29" s="481">
        <f>'[6]Bieu so 58'!Q125</f>
        <v>421372</v>
      </c>
      <c r="N29" s="481">
        <f>'[6]Bieu so 58'!Q360</f>
        <v>57004</v>
      </c>
      <c r="O29" s="481"/>
      <c r="P29" s="481"/>
      <c r="Q29" s="481"/>
      <c r="S29" s="562">
        <v>321137</v>
      </c>
      <c r="T29" s="558">
        <v>296000</v>
      </c>
      <c r="U29" s="563">
        <f>SUM(S29:T29)</f>
        <v>617137</v>
      </c>
      <c r="V29" s="563">
        <f>U29-C29</f>
        <v>-2127</v>
      </c>
    </row>
    <row r="30" spans="1:23" ht="31.5">
      <c r="A30" s="479">
        <v>21</v>
      </c>
      <c r="B30" s="480" t="s">
        <v>922</v>
      </c>
      <c r="C30" s="481">
        <f t="shared" si="1"/>
        <v>911535</v>
      </c>
      <c r="D30" s="481"/>
      <c r="E30" s="481"/>
      <c r="F30" s="481"/>
      <c r="G30" s="481"/>
      <c r="H30" s="481"/>
      <c r="I30" s="481"/>
      <c r="J30" s="481"/>
      <c r="K30" s="481"/>
      <c r="L30" s="481"/>
      <c r="M30" s="481">
        <f>'[6]Bieu so 58'!Q115</f>
        <v>886535</v>
      </c>
      <c r="N30" s="481">
        <f>'[6]Bieu so 58'!Q370</f>
        <v>25000</v>
      </c>
      <c r="O30" s="481"/>
      <c r="P30" s="481"/>
      <c r="Q30" s="481"/>
      <c r="R30" s="558" t="s">
        <v>905</v>
      </c>
      <c r="S30" s="558">
        <v>114000</v>
      </c>
      <c r="T30" s="558">
        <v>357535</v>
      </c>
      <c r="U30" s="558">
        <v>440000</v>
      </c>
      <c r="W30" s="558">
        <f>SUM(S30:V30)</f>
        <v>911535</v>
      </c>
    </row>
    <row r="31" spans="1:23" ht="31.5">
      <c r="A31" s="479">
        <v>20</v>
      </c>
      <c r="B31" s="480" t="s">
        <v>923</v>
      </c>
      <c r="C31" s="481">
        <f t="shared" si="1"/>
        <v>1034271</v>
      </c>
      <c r="D31" s="481"/>
      <c r="E31" s="481"/>
      <c r="F31" s="481"/>
      <c r="G31" s="481"/>
      <c r="H31" s="481"/>
      <c r="I31" s="481"/>
      <c r="J31" s="481"/>
      <c r="K31" s="481"/>
      <c r="L31" s="481"/>
      <c r="M31" s="481">
        <f>'[6]Bieu so 58'!Q161</f>
        <v>1034271</v>
      </c>
      <c r="N31" s="481"/>
      <c r="O31" s="481"/>
      <c r="P31" s="481"/>
      <c r="Q31" s="481"/>
      <c r="R31" s="558" t="s">
        <v>905</v>
      </c>
      <c r="T31" s="561"/>
      <c r="W31" s="561">
        <f>W30-C30</f>
        <v>0</v>
      </c>
    </row>
    <row r="32" spans="1:23">
      <c r="A32" s="479">
        <v>21</v>
      </c>
      <c r="B32" s="480" t="s">
        <v>924</v>
      </c>
      <c r="C32" s="481">
        <f t="shared" si="1"/>
        <v>215000</v>
      </c>
      <c r="D32" s="481"/>
      <c r="E32" s="481"/>
      <c r="F32" s="481"/>
      <c r="G32" s="481"/>
      <c r="H32" s="481"/>
      <c r="I32" s="481"/>
      <c r="J32" s="481"/>
      <c r="K32" s="481"/>
      <c r="L32" s="481"/>
      <c r="M32" s="481">
        <f>'[6]Bieu so 58'!Q186</f>
        <v>215000</v>
      </c>
      <c r="N32" s="481"/>
      <c r="O32" s="481"/>
      <c r="P32" s="481"/>
      <c r="Q32" s="481"/>
      <c r="R32" s="558" t="s">
        <v>905</v>
      </c>
    </row>
    <row r="33" spans="1:22" ht="31.5">
      <c r="A33" s="479">
        <v>22</v>
      </c>
      <c r="B33" s="480" t="s">
        <v>925</v>
      </c>
      <c r="C33" s="481">
        <f t="shared" si="1"/>
        <v>26474</v>
      </c>
      <c r="D33" s="481"/>
      <c r="E33" s="481"/>
      <c r="F33" s="481">
        <f>'[6]Bieu so 58'!Q49</f>
        <v>6300</v>
      </c>
      <c r="G33" s="481"/>
      <c r="H33" s="481"/>
      <c r="I33" s="481"/>
      <c r="J33" s="481"/>
      <c r="K33" s="481"/>
      <c r="L33" s="481"/>
      <c r="M33" s="481">
        <f>'[6]Bieu so 58'!Q193</f>
        <v>8547</v>
      </c>
      <c r="N33" s="481">
        <f>'[6]Bieu so 58'!Q372</f>
        <v>11627</v>
      </c>
      <c r="O33" s="481"/>
      <c r="P33" s="481"/>
      <c r="Q33" s="481"/>
      <c r="R33" s="558" t="s">
        <v>905</v>
      </c>
      <c r="S33" s="558">
        <v>26474</v>
      </c>
      <c r="U33" s="561">
        <f>S33-C33</f>
        <v>0</v>
      </c>
    </row>
    <row r="34" spans="1:22" ht="31.5">
      <c r="A34" s="479">
        <v>23</v>
      </c>
      <c r="B34" s="480" t="s">
        <v>926</v>
      </c>
      <c r="C34" s="481">
        <f t="shared" si="1"/>
        <v>5566</v>
      </c>
      <c r="D34" s="481"/>
      <c r="E34" s="481"/>
      <c r="F34" s="481">
        <f>'[6]Bieu so 58'!Q39</f>
        <v>2184</v>
      </c>
      <c r="G34" s="481"/>
      <c r="H34" s="481"/>
      <c r="I34" s="481"/>
      <c r="J34" s="481"/>
      <c r="K34" s="481"/>
      <c r="L34" s="481"/>
      <c r="M34" s="481">
        <f>'[6]Bieu so 58'!Q261</f>
        <v>1000</v>
      </c>
      <c r="N34" s="481">
        <f>'[6]Bieu so 58'!Q381</f>
        <v>2382</v>
      </c>
      <c r="O34" s="481"/>
      <c r="P34" s="481"/>
      <c r="Q34" s="481"/>
      <c r="R34" s="558" t="s">
        <v>905</v>
      </c>
    </row>
    <row r="35" spans="1:22">
      <c r="A35" s="479">
        <v>24</v>
      </c>
      <c r="B35" s="480" t="s">
        <v>927</v>
      </c>
      <c r="C35" s="481">
        <f t="shared" si="1"/>
        <v>137077</v>
      </c>
      <c r="D35" s="481"/>
      <c r="E35" s="481"/>
      <c r="F35" s="481">
        <f>'[6]Bieu so 58'!Q43</f>
        <v>46000</v>
      </c>
      <c r="G35" s="481"/>
      <c r="H35" s="481"/>
      <c r="I35" s="481"/>
      <c r="J35" s="481"/>
      <c r="K35" s="481"/>
      <c r="L35" s="481"/>
      <c r="M35" s="481">
        <f>'[6]Bieu so 58'!Q264</f>
        <v>91077</v>
      </c>
      <c r="N35" s="481"/>
      <c r="O35" s="481"/>
      <c r="P35" s="481"/>
      <c r="Q35" s="481"/>
      <c r="R35" s="558" t="s">
        <v>905</v>
      </c>
      <c r="S35" s="558">
        <v>122400</v>
      </c>
      <c r="T35" s="558">
        <v>14677</v>
      </c>
      <c r="U35" s="558">
        <f>SUM(S35:T35)</f>
        <v>137077</v>
      </c>
      <c r="V35" s="561">
        <f>U35-C35</f>
        <v>0</v>
      </c>
    </row>
    <row r="36" spans="1:22">
      <c r="A36" s="479">
        <v>25</v>
      </c>
      <c r="B36" s="480" t="s">
        <v>928</v>
      </c>
      <c r="C36" s="481">
        <f t="shared" si="1"/>
        <v>78484</v>
      </c>
      <c r="D36" s="481"/>
      <c r="E36" s="481"/>
      <c r="F36" s="481">
        <f>'[6]Bieu so 58'!Q54</f>
        <v>13500</v>
      </c>
      <c r="G36" s="481"/>
      <c r="H36" s="481"/>
      <c r="I36" s="481"/>
      <c r="J36" s="481"/>
      <c r="K36" s="481"/>
      <c r="L36" s="481"/>
      <c r="M36" s="481">
        <f>'[6]Bieu so 58'!Q310</f>
        <v>62984</v>
      </c>
      <c r="N36" s="481">
        <f>'[6]Bieu so 58'!Q374</f>
        <v>2000</v>
      </c>
      <c r="O36" s="481"/>
      <c r="P36" s="481"/>
      <c r="Q36" s="481"/>
      <c r="R36" s="558" t="s">
        <v>905</v>
      </c>
      <c r="S36" s="558">
        <v>78484</v>
      </c>
    </row>
    <row r="37" spans="1:22">
      <c r="A37" s="479">
        <v>26</v>
      </c>
      <c r="B37" s="480" t="s">
        <v>929</v>
      </c>
      <c r="C37" s="481">
        <f t="shared" si="1"/>
        <v>96259</v>
      </c>
      <c r="D37" s="481"/>
      <c r="E37" s="481"/>
      <c r="F37" s="481">
        <f>'[6]Bieu so 58'!Q58</f>
        <v>28500</v>
      </c>
      <c r="G37" s="481"/>
      <c r="H37" s="481"/>
      <c r="I37" s="481"/>
      <c r="J37" s="481"/>
      <c r="K37" s="481"/>
      <c r="L37" s="481"/>
      <c r="M37" s="481">
        <f>'[6]Bieu so 58'!Q202</f>
        <v>66859</v>
      </c>
      <c r="N37" s="481">
        <f>'[6]Bieu so 58'!Q377</f>
        <v>900</v>
      </c>
      <c r="O37" s="481"/>
      <c r="P37" s="481"/>
      <c r="Q37" s="481"/>
      <c r="R37" s="558" t="s">
        <v>905</v>
      </c>
    </row>
    <row r="38" spans="1:22">
      <c r="A38" s="479">
        <v>27</v>
      </c>
      <c r="B38" s="480" t="s">
        <v>930</v>
      </c>
      <c r="C38" s="481">
        <f t="shared" si="1"/>
        <v>234685</v>
      </c>
      <c r="D38" s="481"/>
      <c r="E38" s="481"/>
      <c r="F38" s="481">
        <f>'[6]Bieu so 58'!Q65</f>
        <v>67800</v>
      </c>
      <c r="G38" s="481"/>
      <c r="H38" s="481"/>
      <c r="I38" s="481"/>
      <c r="J38" s="481"/>
      <c r="K38" s="481"/>
      <c r="L38" s="481"/>
      <c r="M38" s="481">
        <f>'[6]Bieu so 58'!Q227</f>
        <v>166485</v>
      </c>
      <c r="N38" s="481">
        <f>'[6]Bieu so 58'!Q379</f>
        <v>400</v>
      </c>
      <c r="O38" s="481"/>
      <c r="P38" s="481"/>
      <c r="Q38" s="481"/>
      <c r="R38" s="558" t="s">
        <v>905</v>
      </c>
      <c r="S38" s="558">
        <v>234685</v>
      </c>
      <c r="T38" s="561">
        <f>S38-C38</f>
        <v>0</v>
      </c>
    </row>
    <row r="39" spans="1:22">
      <c r="A39" s="479">
        <v>28</v>
      </c>
      <c r="B39" s="480" t="s">
        <v>931</v>
      </c>
      <c r="C39" s="481">
        <f t="shared" si="1"/>
        <v>31400</v>
      </c>
      <c r="D39" s="481"/>
      <c r="E39" s="481"/>
      <c r="F39" s="481">
        <f>'[6]Bieu so 58'!Q77</f>
        <v>12300</v>
      </c>
      <c r="G39" s="481"/>
      <c r="H39" s="481"/>
      <c r="I39" s="481"/>
      <c r="J39" s="481"/>
      <c r="K39" s="481"/>
      <c r="L39" s="481"/>
      <c r="M39" s="481">
        <f>'[6]Bieu so 58'!Q253</f>
        <v>19100</v>
      </c>
      <c r="N39" s="481"/>
      <c r="O39" s="481"/>
      <c r="P39" s="481"/>
      <c r="Q39" s="481"/>
      <c r="R39" s="558" t="s">
        <v>905</v>
      </c>
    </row>
    <row r="40" spans="1:22">
      <c r="A40" s="479">
        <v>29</v>
      </c>
      <c r="B40" s="480" t="s">
        <v>932</v>
      </c>
      <c r="C40" s="481">
        <f t="shared" si="1"/>
        <v>124693</v>
      </c>
      <c r="D40" s="481"/>
      <c r="E40" s="481"/>
      <c r="F40" s="481"/>
      <c r="G40" s="481"/>
      <c r="H40" s="481">
        <f>'[6]Bieu so 58'!Q90</f>
        <v>500</v>
      </c>
      <c r="I40" s="481"/>
      <c r="J40" s="481"/>
      <c r="K40" s="481"/>
      <c r="L40" s="481"/>
      <c r="M40" s="481">
        <f>'[6]Bieu so 58'!Q240</f>
        <v>79587</v>
      </c>
      <c r="N40" s="481">
        <f>'[6]Bieu so 58'!Q385</f>
        <v>44606</v>
      </c>
      <c r="O40" s="481"/>
      <c r="P40" s="481"/>
      <c r="Q40" s="481"/>
      <c r="R40" s="558" t="s">
        <v>905</v>
      </c>
    </row>
    <row r="41" spans="1:22">
      <c r="A41" s="479">
        <v>30</v>
      </c>
      <c r="B41" s="480" t="s">
        <v>933</v>
      </c>
      <c r="C41" s="481">
        <f t="shared" si="1"/>
        <v>460059.4</v>
      </c>
      <c r="D41" s="481"/>
      <c r="E41" s="481"/>
      <c r="F41" s="481"/>
      <c r="G41" s="481"/>
      <c r="H41" s="481"/>
      <c r="I41" s="481"/>
      <c r="J41" s="481"/>
      <c r="K41" s="481"/>
      <c r="L41" s="481"/>
      <c r="M41" s="481">
        <f>'[6]Bieu so 58'!Q274</f>
        <v>447120.4</v>
      </c>
      <c r="N41" s="481">
        <f>'[6]Bieu so 58'!Q388</f>
        <v>12939</v>
      </c>
      <c r="O41" s="481"/>
      <c r="P41" s="481"/>
      <c r="Q41" s="481"/>
      <c r="S41" s="558">
        <f>269077+1700</f>
        <v>270777</v>
      </c>
      <c r="T41" s="558">
        <v>179782</v>
      </c>
      <c r="U41" s="558">
        <f>SUM(S41:T41)</f>
        <v>450559</v>
      </c>
      <c r="V41" s="561">
        <f>U41-C41</f>
        <v>-9500.4000000000233</v>
      </c>
    </row>
    <row r="42" spans="1:22" ht="31.5">
      <c r="A42" s="479">
        <v>23</v>
      </c>
      <c r="B42" s="480" t="s">
        <v>934</v>
      </c>
      <c r="C42" s="481">
        <f t="shared" si="1"/>
        <v>9500</v>
      </c>
      <c r="D42" s="481"/>
      <c r="E42" s="481"/>
      <c r="F42" s="481"/>
      <c r="G42" s="481"/>
      <c r="H42" s="481"/>
      <c r="I42" s="481"/>
      <c r="J42" s="481"/>
      <c r="K42" s="481"/>
      <c r="L42" s="481"/>
      <c r="M42" s="481">
        <f>'[6]Bieu so 58'!Q325</f>
        <v>9500</v>
      </c>
      <c r="N42" s="481"/>
      <c r="O42" s="481"/>
      <c r="P42" s="481"/>
      <c r="Q42" s="481"/>
      <c r="R42" s="558" t="s">
        <v>905</v>
      </c>
    </row>
    <row r="43" spans="1:22" ht="31.5">
      <c r="A43" s="479">
        <v>24</v>
      </c>
      <c r="B43" s="480" t="s">
        <v>935</v>
      </c>
      <c r="C43" s="481">
        <f t="shared" si="1"/>
        <v>136500</v>
      </c>
      <c r="D43" s="481"/>
      <c r="E43" s="481"/>
      <c r="F43" s="481"/>
      <c r="G43" s="481"/>
      <c r="H43" s="481"/>
      <c r="I43" s="481"/>
      <c r="J43" s="481"/>
      <c r="K43" s="481"/>
      <c r="L43" s="481"/>
      <c r="M43" s="481">
        <f>'[6]Bieu so 58'!Q328</f>
        <v>136500</v>
      </c>
      <c r="N43" s="481"/>
      <c r="O43" s="481"/>
      <c r="P43" s="481"/>
      <c r="Q43" s="481"/>
      <c r="R43" s="558" t="s">
        <v>905</v>
      </c>
    </row>
    <row r="44" spans="1:22">
      <c r="A44" s="479">
        <v>25</v>
      </c>
      <c r="B44" s="480" t="s">
        <v>936</v>
      </c>
      <c r="C44" s="481">
        <f t="shared" si="1"/>
        <v>30000</v>
      </c>
      <c r="D44" s="481"/>
      <c r="E44" s="481"/>
      <c r="F44" s="481"/>
      <c r="G44" s="481"/>
      <c r="H44" s="481"/>
      <c r="I44" s="481"/>
      <c r="J44" s="481"/>
      <c r="K44" s="481"/>
      <c r="L44" s="481"/>
      <c r="M44" s="481">
        <f>'[6]Bieu so 58'!Q334</f>
        <v>30000</v>
      </c>
      <c r="N44" s="481"/>
      <c r="O44" s="481"/>
      <c r="P44" s="481"/>
      <c r="Q44" s="481"/>
      <c r="R44" s="558" t="s">
        <v>905</v>
      </c>
    </row>
    <row r="45" spans="1:22">
      <c r="A45" s="479">
        <v>26</v>
      </c>
      <c r="B45" s="480" t="s">
        <v>937</v>
      </c>
      <c r="C45" s="481">
        <f t="shared" si="1"/>
        <v>3994117</v>
      </c>
      <c r="D45" s="481"/>
      <c r="E45" s="481"/>
      <c r="F45" s="481"/>
      <c r="G45" s="481"/>
      <c r="H45" s="481"/>
      <c r="I45" s="481"/>
      <c r="J45" s="481"/>
      <c r="K45" s="481"/>
      <c r="L45" s="481"/>
      <c r="M45" s="481"/>
      <c r="N45" s="481"/>
      <c r="O45" s="481"/>
      <c r="P45" s="481"/>
      <c r="Q45" s="481">
        <v>3994117</v>
      </c>
      <c r="S45" s="558">
        <v>3994117</v>
      </c>
    </row>
  </sheetData>
  <mergeCells count="8">
    <mergeCell ref="L1:P1"/>
    <mergeCell ref="A3:P3"/>
    <mergeCell ref="A4:P4"/>
    <mergeCell ref="N5:P5"/>
    <mergeCell ref="A6:A7"/>
    <mergeCell ref="B6:B7"/>
    <mergeCell ref="C6:C7"/>
    <mergeCell ref="D6:P6"/>
  </mergeCells>
  <conditionalFormatting sqref="B12">
    <cfRule type="duplicateValues" dxfId="64" priority="65"/>
    <cfRule type="duplicateValues" dxfId="63" priority="66"/>
  </conditionalFormatting>
  <conditionalFormatting sqref="B13">
    <cfRule type="duplicateValues" dxfId="62" priority="64"/>
    <cfRule type="duplicateValues" dxfId="61" priority="63"/>
  </conditionalFormatting>
  <conditionalFormatting sqref="B14">
    <cfRule type="duplicateValues" dxfId="60" priority="50"/>
    <cfRule type="duplicateValues" dxfId="59" priority="49"/>
  </conditionalFormatting>
  <conditionalFormatting sqref="B15">
    <cfRule type="duplicateValues" dxfId="58" priority="48"/>
    <cfRule type="duplicateValues" dxfId="57" priority="47"/>
  </conditionalFormatting>
  <conditionalFormatting sqref="B16">
    <cfRule type="duplicateValues" dxfId="56" priority="62"/>
    <cfRule type="duplicateValues" dxfId="55" priority="61"/>
  </conditionalFormatting>
  <conditionalFormatting sqref="B17">
    <cfRule type="duplicateValues" dxfId="54" priority="60"/>
    <cfRule type="duplicateValues" dxfId="53" priority="59"/>
  </conditionalFormatting>
  <conditionalFormatting sqref="B18">
    <cfRule type="duplicateValues" dxfId="52" priority="58"/>
    <cfRule type="duplicateValues" dxfId="51" priority="57"/>
  </conditionalFormatting>
  <conditionalFormatting sqref="B19">
    <cfRule type="duplicateValues" dxfId="50" priority="56"/>
    <cfRule type="duplicateValues" dxfId="49" priority="55"/>
  </conditionalFormatting>
  <conditionalFormatting sqref="B20">
    <cfRule type="duplicateValues" dxfId="48" priority="54"/>
    <cfRule type="duplicateValues" dxfId="47" priority="53"/>
  </conditionalFormatting>
  <conditionalFormatting sqref="B21">
    <cfRule type="duplicateValues" dxfId="46" priority="52"/>
    <cfRule type="duplicateValues" dxfId="45" priority="51"/>
  </conditionalFormatting>
  <conditionalFormatting sqref="B22">
    <cfRule type="duplicateValues" dxfId="44" priority="46"/>
    <cfRule type="duplicateValues" dxfId="43" priority="45"/>
  </conditionalFormatting>
  <conditionalFormatting sqref="B23">
    <cfRule type="duplicateValues" dxfId="42" priority="43"/>
    <cfRule type="duplicateValues" dxfId="41" priority="44"/>
  </conditionalFormatting>
  <conditionalFormatting sqref="B24">
    <cfRule type="duplicateValues" dxfId="40" priority="42"/>
    <cfRule type="duplicateValues" dxfId="39" priority="41"/>
  </conditionalFormatting>
  <conditionalFormatting sqref="B25">
    <cfRule type="duplicateValues" dxfId="38" priority="40"/>
    <cfRule type="duplicateValues" dxfId="37" priority="39"/>
  </conditionalFormatting>
  <conditionalFormatting sqref="B26">
    <cfRule type="duplicateValues" dxfId="36" priority="38"/>
    <cfRule type="duplicateValues" dxfId="35" priority="37"/>
  </conditionalFormatting>
  <conditionalFormatting sqref="B27">
    <cfRule type="duplicateValues" dxfId="34" priority="35"/>
    <cfRule type="duplicateValues" dxfId="33" priority="36"/>
  </conditionalFormatting>
  <conditionalFormatting sqref="B28">
    <cfRule type="duplicateValues" dxfId="32" priority="34"/>
    <cfRule type="duplicateValues" dxfId="31" priority="33"/>
  </conditionalFormatting>
  <conditionalFormatting sqref="B29">
    <cfRule type="duplicateValues" dxfId="30" priority="32"/>
    <cfRule type="duplicateValues" dxfId="29" priority="31"/>
  </conditionalFormatting>
  <conditionalFormatting sqref="B30">
    <cfRule type="duplicateValues" dxfId="28" priority="30"/>
    <cfRule type="duplicateValues" dxfId="27" priority="29"/>
  </conditionalFormatting>
  <conditionalFormatting sqref="B31">
    <cfRule type="duplicateValues" dxfId="26" priority="27"/>
    <cfRule type="duplicateValues" dxfId="25" priority="28"/>
  </conditionalFormatting>
  <conditionalFormatting sqref="B32">
    <cfRule type="duplicateValues" dxfId="24" priority="26"/>
    <cfRule type="duplicateValues" dxfId="23" priority="25"/>
  </conditionalFormatting>
  <conditionalFormatting sqref="B33">
    <cfRule type="duplicateValues" dxfId="22" priority="24"/>
    <cfRule type="duplicateValues" dxfId="21" priority="23"/>
  </conditionalFormatting>
  <conditionalFormatting sqref="B34">
    <cfRule type="duplicateValues" dxfId="20" priority="22"/>
    <cfRule type="duplicateValues" dxfId="19" priority="21"/>
  </conditionalFormatting>
  <conditionalFormatting sqref="B35">
    <cfRule type="duplicateValues" dxfId="18" priority="19"/>
    <cfRule type="duplicateValues" dxfId="17" priority="20"/>
  </conditionalFormatting>
  <conditionalFormatting sqref="B36">
    <cfRule type="duplicateValues" dxfId="16" priority="18"/>
    <cfRule type="duplicateValues" dxfId="15" priority="17"/>
  </conditionalFormatting>
  <conditionalFormatting sqref="B37">
    <cfRule type="duplicateValues" dxfId="14" priority="16"/>
    <cfRule type="duplicateValues" dxfId="13" priority="15"/>
  </conditionalFormatting>
  <conditionalFormatting sqref="B38">
    <cfRule type="duplicateValues" dxfId="12" priority="14"/>
    <cfRule type="duplicateValues" dxfId="11" priority="13"/>
  </conditionalFormatting>
  <conditionalFormatting sqref="B39">
    <cfRule type="duplicateValues" dxfId="10" priority="11"/>
    <cfRule type="duplicateValues" dxfId="9" priority="12"/>
  </conditionalFormatting>
  <conditionalFormatting sqref="B40">
    <cfRule type="duplicateValues" dxfId="8" priority="10"/>
    <cfRule type="duplicateValues" dxfId="7" priority="9"/>
  </conditionalFormatting>
  <conditionalFormatting sqref="B41">
    <cfRule type="duplicateValues" dxfId="6" priority="8"/>
    <cfRule type="duplicateValues" dxfId="5" priority="7"/>
  </conditionalFormatting>
  <conditionalFormatting sqref="B42">
    <cfRule type="duplicateValues" dxfId="4" priority="6"/>
    <cfRule type="duplicateValues" dxfId="3" priority="5"/>
  </conditionalFormatting>
  <conditionalFormatting sqref="B43:B44">
    <cfRule type="duplicateValues" dxfId="2" priority="4"/>
    <cfRule type="duplicateValues" dxfId="1" priority="3"/>
  </conditionalFormatting>
  <pageMargins left="0.70866141732283505" right="0.43307086614173201" top="0.74803149606299202" bottom="0.74803149606299202" header="0.31496062992126" footer="0.31496062992126"/>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Bieu so 46</vt:lpstr>
      <vt:lpstr>Bieu so 47</vt:lpstr>
      <vt:lpstr>Bieu so 48</vt:lpstr>
      <vt:lpstr>Bieu so 49</vt:lpstr>
      <vt:lpstr>Bieu so 50</vt:lpstr>
      <vt:lpstr>Bieu so 51</vt:lpstr>
      <vt:lpstr>Bieu so 521</vt:lpstr>
      <vt:lpstr>Bieu so 52</vt:lpstr>
      <vt:lpstr>Bieu so 53</vt:lpstr>
      <vt:lpstr>Bieu so 54</vt:lpstr>
      <vt:lpstr>Bieu so 55</vt:lpstr>
      <vt:lpstr>Bieu so 56</vt:lpstr>
      <vt:lpstr>Bieu so 57</vt:lpstr>
      <vt:lpstr>Bieu so 581</vt:lpstr>
      <vt:lpstr>Bieu so 58</vt:lpstr>
      <vt:lpstr>52</vt:lpstr>
      <vt:lpstr>58</vt:lpstr>
      <vt:lpstr>'Bieu so 46'!Print_Titles</vt:lpstr>
      <vt:lpstr>'Bieu so 48'!Print_Titles</vt:lpstr>
      <vt:lpstr>'Bieu so 49'!Print_Titles</vt:lpstr>
      <vt:lpstr>'Bieu so 50'!Print_Titles</vt:lpstr>
      <vt:lpstr>'Bieu so 51'!Print_Titles</vt:lpstr>
      <vt:lpstr>'Bieu so 52'!Print_Titles</vt:lpstr>
      <vt:lpstr>'Bieu so 521'!Print_Titles</vt:lpstr>
      <vt:lpstr>'Bieu so 53'!Print_Titles</vt:lpstr>
      <vt:lpstr>'Bieu so 54'!Print_Titles</vt:lpstr>
      <vt:lpstr>'Bieu so 55'!Print_Titles</vt:lpstr>
      <vt:lpstr>'Bieu so 56'!Print_Titles</vt:lpstr>
      <vt:lpstr>'Bieu so 57'!Print_Titles</vt:lpstr>
      <vt:lpstr>'Bieu so 58'!Print_Titles</vt:lpstr>
      <vt:lpstr>'Bieu so 581'!Print_Titles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dc:creator>
  <cp:lastModifiedBy>Admin</cp:lastModifiedBy>
  <cp:lastPrinted>2026-01-07T05:37:36Z</cp:lastPrinted>
  <dcterms:created xsi:type="dcterms:W3CDTF">2011-09-11T06:55:33Z</dcterms:created>
  <dcterms:modified xsi:type="dcterms:W3CDTF">2026-01-07T05:53:23Z</dcterms:modified>
</cp:coreProperties>
</file>